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workbookProtection workbookPassword="C5DB" lockStructure="1" lockWindows="1"/>
  <bookViews>
    <workbookView xWindow="1935" yWindow="-1410" windowWidth="19350" windowHeight="9135" activeTab="15"/>
  </bookViews>
  <sheets>
    <sheet name="SET SP Nataga" sheetId="1" r:id="rId1"/>
    <sheet name="01" sheetId="55" r:id="rId2"/>
    <sheet name="02" sheetId="56" r:id="rId3"/>
    <sheet name="03" sheetId="60" r:id="rId4"/>
    <sheet name="04" sheetId="61" r:id="rId5"/>
    <sheet name="05" sheetId="62" r:id="rId6"/>
    <sheet name="06" sheetId="36" r:id="rId7"/>
    <sheet name="07" sheetId="38" r:id="rId8"/>
    <sheet name="08" sheetId="58" r:id="rId9"/>
    <sheet name="09" sheetId="59" r:id="rId10"/>
    <sheet name="10" sheetId="63" r:id="rId11"/>
    <sheet name="11" sheetId="64" r:id="rId12"/>
    <sheet name="12" sheetId="65" r:id="rId13"/>
    <sheet name="13" sheetId="68" r:id="rId14"/>
    <sheet name="14" sheetId="66" r:id="rId15"/>
    <sheet name="NATAGA-18" sheetId="69" r:id="rId16"/>
  </sheets>
  <definedNames>
    <definedName name="_xlnm.Print_Area" localSheetId="15">'NATAGA-18'!$A$1:$G$95</definedName>
    <definedName name="_xlnm.Print_Titles" localSheetId="0">'SET SP Nataga'!$1:$5</definedName>
  </definedNames>
  <calcPr calcId="145621"/>
</workbook>
</file>

<file path=xl/calcChain.xml><?xml version="1.0" encoding="utf-8"?>
<calcChain xmlns="http://schemas.openxmlformats.org/spreadsheetml/2006/main">
  <c r="P10" i="69" l="1"/>
  <c r="P11" i="69"/>
  <c r="P12" i="69"/>
  <c r="P13" i="69"/>
  <c r="P9" i="69"/>
  <c r="P57" i="69" s="1"/>
  <c r="O23" i="69" l="1"/>
  <c r="O21" i="69"/>
  <c r="O17" i="69"/>
  <c r="O15" i="69"/>
  <c r="O24" i="69"/>
  <c r="O22" i="69"/>
  <c r="O20" i="69"/>
  <c r="O16" i="69"/>
  <c r="O14" i="69"/>
  <c r="N23" i="69" l="1"/>
  <c r="N21" i="69"/>
  <c r="N17" i="69"/>
  <c r="N15" i="69"/>
  <c r="N20" i="69"/>
  <c r="N24" i="69"/>
  <c r="N22" i="69"/>
  <c r="N16" i="69"/>
  <c r="N14" i="69"/>
  <c r="M23" i="69" l="1"/>
  <c r="M21" i="69"/>
  <c r="M17" i="69"/>
  <c r="M15" i="69"/>
  <c r="M24" i="69"/>
  <c r="M22" i="69"/>
  <c r="M20" i="69"/>
  <c r="M16" i="69"/>
  <c r="M14" i="69"/>
  <c r="L23" i="69" l="1"/>
  <c r="L21" i="69"/>
  <c r="L17" i="69"/>
  <c r="L15" i="69"/>
  <c r="L24" i="69"/>
  <c r="L22" i="69"/>
  <c r="L20" i="69"/>
  <c r="L16" i="69"/>
  <c r="L14" i="69"/>
  <c r="K23" i="69" l="1"/>
  <c r="K21" i="69"/>
  <c r="K17" i="69"/>
  <c r="K15" i="69"/>
  <c r="K24" i="69"/>
  <c r="K22" i="69"/>
  <c r="K20" i="69"/>
  <c r="K16" i="69"/>
  <c r="K14" i="69"/>
  <c r="J23" i="69" l="1"/>
  <c r="J21" i="69"/>
  <c r="J17" i="69"/>
  <c r="J15" i="69"/>
  <c r="J24" i="69"/>
  <c r="J22" i="69"/>
  <c r="J20" i="69"/>
  <c r="J16" i="69"/>
  <c r="J14" i="69"/>
  <c r="I60" i="69" l="1"/>
  <c r="I23" i="69" l="1"/>
  <c r="I21" i="69"/>
  <c r="I61" i="69" s="1"/>
  <c r="I17" i="69"/>
  <c r="I15" i="69"/>
  <c r="I24" i="69"/>
  <c r="I63" i="69" s="1"/>
  <c r="I22" i="69"/>
  <c r="I20" i="69"/>
  <c r="I16" i="69"/>
  <c r="I14" i="69"/>
  <c r="I58" i="69" l="1"/>
  <c r="I59" i="69"/>
  <c r="I62" i="69"/>
  <c r="H23" i="69"/>
  <c r="H21" i="69"/>
  <c r="H19" i="69"/>
  <c r="H60" i="69" s="1"/>
  <c r="H17" i="69"/>
  <c r="H15" i="69"/>
  <c r="H24" i="69"/>
  <c r="H22" i="69"/>
  <c r="H20" i="69"/>
  <c r="H18" i="69"/>
  <c r="H16" i="69"/>
  <c r="H14" i="69"/>
  <c r="G23" i="69" l="1"/>
  <c r="G21" i="69"/>
  <c r="G17" i="69"/>
  <c r="G15" i="69"/>
  <c r="F23" i="69"/>
  <c r="F21" i="69"/>
  <c r="F17" i="69"/>
  <c r="F15" i="69"/>
  <c r="G24" i="69"/>
  <c r="G22" i="69"/>
  <c r="G20" i="69"/>
  <c r="G16" i="69"/>
  <c r="G14" i="69"/>
  <c r="F24" i="69"/>
  <c r="F22" i="69"/>
  <c r="F20" i="69"/>
  <c r="F16" i="69"/>
  <c r="F14" i="69"/>
  <c r="E23" i="69" l="1"/>
  <c r="E21" i="69"/>
  <c r="E17" i="69"/>
  <c r="E15" i="69"/>
  <c r="E24" i="69"/>
  <c r="E22" i="69"/>
  <c r="E20" i="69"/>
  <c r="E16" i="69"/>
  <c r="E14" i="69"/>
  <c r="D23" i="69"/>
  <c r="D21" i="69"/>
  <c r="D17" i="69"/>
  <c r="D15" i="69"/>
  <c r="D24" i="69"/>
  <c r="D30" i="69" s="1"/>
  <c r="D22" i="69"/>
  <c r="D20" i="69"/>
  <c r="D16" i="69"/>
  <c r="D14" i="69"/>
  <c r="P14" i="69" s="1"/>
  <c r="D31" i="69"/>
  <c r="D29" i="69" l="1"/>
  <c r="D28" i="69"/>
  <c r="D32" i="69" s="1"/>
  <c r="D27" i="69"/>
  <c r="D26" i="69"/>
  <c r="D33" i="69"/>
  <c r="C17" i="59" l="1"/>
  <c r="M14" i="1" s="1"/>
  <c r="H17" i="65" l="1"/>
  <c r="C18" i="58" l="1"/>
  <c r="D69" i="69" l="1"/>
  <c r="H68" i="69" l="1"/>
  <c r="I68" i="69"/>
  <c r="J68" i="69"/>
  <c r="K68" i="69"/>
  <c r="L68" i="69"/>
  <c r="M68" i="69"/>
  <c r="N68" i="69"/>
  <c r="O68" i="69"/>
  <c r="H69" i="69"/>
  <c r="I69" i="69"/>
  <c r="J69" i="69"/>
  <c r="K69" i="69"/>
  <c r="L69" i="69"/>
  <c r="M69" i="69"/>
  <c r="N69" i="69"/>
  <c r="O69" i="69"/>
  <c r="D55" i="69" l="1"/>
  <c r="E55" i="69"/>
  <c r="F55" i="69"/>
  <c r="G55" i="69"/>
  <c r="H55" i="69"/>
  <c r="I55" i="69"/>
  <c r="J55" i="69"/>
  <c r="K55" i="69"/>
  <c r="L55" i="69"/>
  <c r="M55" i="69"/>
  <c r="N55" i="69"/>
  <c r="O55" i="69"/>
  <c r="J18" i="68"/>
  <c r="K18" i="68"/>
  <c r="L18" i="68"/>
  <c r="M18" i="68"/>
  <c r="N18" i="68"/>
  <c r="C18" i="64"/>
  <c r="K18" i="64"/>
  <c r="L18" i="64"/>
  <c r="M18" i="64"/>
  <c r="N18" i="64"/>
  <c r="J18" i="64"/>
  <c r="C18" i="38"/>
  <c r="D18" i="38"/>
  <c r="E18" i="38"/>
  <c r="F18" i="38"/>
  <c r="G18" i="38"/>
  <c r="H18" i="38"/>
  <c r="I18" i="38"/>
  <c r="J18" i="38"/>
  <c r="K18" i="38"/>
  <c r="L18" i="38"/>
  <c r="M18" i="38"/>
  <c r="N18" i="38"/>
  <c r="M53" i="69" l="1"/>
  <c r="N53" i="69"/>
  <c r="O53" i="69"/>
  <c r="D18" i="68" l="1"/>
  <c r="E18" i="68"/>
  <c r="F18" i="68"/>
  <c r="G18" i="68"/>
  <c r="H18" i="68"/>
  <c r="I18" i="68"/>
  <c r="C18" i="68"/>
  <c r="D18" i="64"/>
  <c r="E18" i="64"/>
  <c r="F18" i="64"/>
  <c r="G18" i="64"/>
  <c r="H18" i="64"/>
  <c r="I18" i="64"/>
  <c r="D18" i="58"/>
  <c r="E18" i="58"/>
  <c r="F18" i="58"/>
  <c r="G18" i="58"/>
  <c r="H18" i="58"/>
  <c r="I18" i="58"/>
  <c r="I31" i="69" l="1"/>
  <c r="I30" i="69"/>
  <c r="I27" i="69"/>
  <c r="I64" i="69" s="1"/>
  <c r="I26" i="69"/>
  <c r="I66" i="69" l="1"/>
  <c r="I28" i="69"/>
  <c r="I43" i="69"/>
  <c r="H19" i="55"/>
  <c r="I29" i="69"/>
  <c r="I32" i="69"/>
  <c r="I33" i="69" l="1"/>
  <c r="I67" i="69" s="1"/>
  <c r="I65" i="69"/>
  <c r="I37" i="69"/>
  <c r="H18" i="60" s="1"/>
  <c r="G43" i="69"/>
  <c r="F27" i="69"/>
  <c r="F43" i="69"/>
  <c r="E47" i="69"/>
  <c r="E44" i="69"/>
  <c r="E26" i="69"/>
  <c r="D61" i="69"/>
  <c r="D46" i="69"/>
  <c r="D18" i="66"/>
  <c r="E18" i="66"/>
  <c r="F18" i="66"/>
  <c r="G18" i="66"/>
  <c r="H18" i="66"/>
  <c r="I18" i="66"/>
  <c r="J18" i="66"/>
  <c r="K18" i="66"/>
  <c r="L18" i="66"/>
  <c r="M18" i="66"/>
  <c r="N18" i="66"/>
  <c r="K18" i="63"/>
  <c r="L18" i="63"/>
  <c r="M18" i="63"/>
  <c r="N18" i="63"/>
  <c r="K19" i="63"/>
  <c r="L19" i="63"/>
  <c r="M19" i="63"/>
  <c r="N19" i="63"/>
  <c r="N17" i="63" s="1"/>
  <c r="X15" i="1" s="1"/>
  <c r="E17" i="59"/>
  <c r="O14" i="1" s="1"/>
  <c r="F17" i="59"/>
  <c r="G17" i="59"/>
  <c r="Q14" i="1" s="1"/>
  <c r="H17" i="59"/>
  <c r="R14" i="1" s="1"/>
  <c r="I17" i="59"/>
  <c r="S14" i="1" s="1"/>
  <c r="J17" i="59"/>
  <c r="K17" i="59"/>
  <c r="L17" i="59"/>
  <c r="M17" i="59"/>
  <c r="W14" i="1" s="1"/>
  <c r="N17" i="59"/>
  <c r="D17" i="59"/>
  <c r="N14" i="1" s="1"/>
  <c r="K18" i="36"/>
  <c r="L18" i="36"/>
  <c r="M18" i="36"/>
  <c r="N18" i="36"/>
  <c r="K18" i="62"/>
  <c r="K19" i="68" s="1"/>
  <c r="K17" i="68" s="1"/>
  <c r="U18" i="1" s="1"/>
  <c r="L18" i="62"/>
  <c r="L19" i="68" s="1"/>
  <c r="L17" i="68" s="1"/>
  <c r="V18" i="1" s="1"/>
  <c r="M18" i="62"/>
  <c r="M19" i="58" s="1"/>
  <c r="N18" i="62"/>
  <c r="N19" i="68" s="1"/>
  <c r="N17" i="68" s="1"/>
  <c r="X18" i="1" s="1"/>
  <c r="K19" i="62"/>
  <c r="K19" i="36" s="1"/>
  <c r="K17" i="36" s="1"/>
  <c r="U11" i="1" s="1"/>
  <c r="L19" i="62"/>
  <c r="L19" i="36" s="1"/>
  <c r="L17" i="36" s="1"/>
  <c r="V11" i="1" s="1"/>
  <c r="M19" i="62"/>
  <c r="M19" i="36" s="1"/>
  <c r="M17" i="36" s="1"/>
  <c r="W11" i="1" s="1"/>
  <c r="N19" i="62"/>
  <c r="N19" i="36" s="1"/>
  <c r="N17" i="36" s="1"/>
  <c r="X11" i="1" s="1"/>
  <c r="K18" i="55"/>
  <c r="L18" i="55"/>
  <c r="M18" i="55"/>
  <c r="N18" i="55"/>
  <c r="K19" i="55"/>
  <c r="K19" i="60" s="1"/>
  <c r="L19" i="55"/>
  <c r="L19" i="60" s="1"/>
  <c r="M19" i="55"/>
  <c r="M19" i="60" s="1"/>
  <c r="N19" i="55"/>
  <c r="N19" i="60" s="1"/>
  <c r="C18" i="66"/>
  <c r="O18" i="59"/>
  <c r="O17" i="59" s="1"/>
  <c r="L14" i="1" s="1"/>
  <c r="D19" i="38"/>
  <c r="H19" i="38"/>
  <c r="K19" i="38"/>
  <c r="K19" i="66" s="1"/>
  <c r="L19" i="38"/>
  <c r="L19" i="66" s="1"/>
  <c r="M19" i="38"/>
  <c r="M19" i="66" s="1"/>
  <c r="O16" i="66"/>
  <c r="O15" i="66"/>
  <c r="C15" i="66" s="1"/>
  <c r="O16" i="68"/>
  <c r="C16" i="68" s="1"/>
  <c r="O15" i="68"/>
  <c r="C15" i="68" s="1"/>
  <c r="O16" i="65"/>
  <c r="O15" i="65"/>
  <c r="C15" i="65" s="1"/>
  <c r="O16" i="64"/>
  <c r="O15" i="64"/>
  <c r="C15" i="64" s="1"/>
  <c r="O16" i="63"/>
  <c r="O15" i="63"/>
  <c r="N15" i="63" s="1"/>
  <c r="O16" i="59"/>
  <c r="O15" i="59"/>
  <c r="C15" i="59" s="1"/>
  <c r="O16" i="58"/>
  <c r="C16" i="58" s="1"/>
  <c r="O15" i="58"/>
  <c r="C15" i="58" s="1"/>
  <c r="O16" i="38"/>
  <c r="O15" i="38"/>
  <c r="C15" i="38" s="1"/>
  <c r="O16" i="36"/>
  <c r="O15" i="36"/>
  <c r="C15" i="36" s="1"/>
  <c r="O16" i="62"/>
  <c r="C16" i="62" s="1"/>
  <c r="O15" i="62"/>
  <c r="C15" i="62" s="1"/>
  <c r="O16" i="61"/>
  <c r="O15" i="61"/>
  <c r="C15" i="61" s="1"/>
  <c r="O16" i="60"/>
  <c r="O15" i="60"/>
  <c r="C15" i="60" s="1"/>
  <c r="O16" i="56"/>
  <c r="O15" i="56"/>
  <c r="C15" i="56" s="1"/>
  <c r="O16" i="55"/>
  <c r="O15" i="55"/>
  <c r="C15" i="55" s="1"/>
  <c r="J19" i="63"/>
  <c r="I19" i="63"/>
  <c r="H19" i="63"/>
  <c r="G19" i="63"/>
  <c r="F19" i="63"/>
  <c r="E19" i="63"/>
  <c r="D19" i="63"/>
  <c r="C19" i="63"/>
  <c r="J18" i="63"/>
  <c r="I18" i="63"/>
  <c r="H18" i="63"/>
  <c r="G18" i="63"/>
  <c r="F18" i="63"/>
  <c r="E18" i="63"/>
  <c r="D18" i="63"/>
  <c r="C18" i="63"/>
  <c r="J18" i="36"/>
  <c r="I18" i="36"/>
  <c r="H18" i="36"/>
  <c r="G18" i="36"/>
  <c r="F18" i="36"/>
  <c r="E18" i="36"/>
  <c r="D18" i="36"/>
  <c r="C18" i="36"/>
  <c r="J19" i="62"/>
  <c r="H19" i="62"/>
  <c r="H19" i="36" s="1"/>
  <c r="C19" i="62"/>
  <c r="C19" i="36" s="1"/>
  <c r="J18" i="62"/>
  <c r="I18" i="62"/>
  <c r="H18" i="62"/>
  <c r="H19" i="58" s="1"/>
  <c r="G18" i="62"/>
  <c r="G19" i="58" s="1"/>
  <c r="F18" i="62"/>
  <c r="E18" i="62"/>
  <c r="E19" i="58" s="1"/>
  <c r="E17" i="58" s="1"/>
  <c r="O13" i="1" s="1"/>
  <c r="D18" i="62"/>
  <c r="D19" i="68" s="1"/>
  <c r="D17" i="68" s="1"/>
  <c r="N18" i="1" s="1"/>
  <c r="C18" i="62"/>
  <c r="C19" i="68" s="1"/>
  <c r="C17" i="68" s="1"/>
  <c r="M18" i="1" s="1"/>
  <c r="G69" i="69"/>
  <c r="F69" i="69"/>
  <c r="E69" i="69"/>
  <c r="G68" i="69"/>
  <c r="F68" i="69"/>
  <c r="E68" i="69"/>
  <c r="D68" i="69"/>
  <c r="O63" i="69"/>
  <c r="N63" i="69"/>
  <c r="M63" i="69"/>
  <c r="L63" i="69"/>
  <c r="K63" i="69"/>
  <c r="J63" i="69"/>
  <c r="H63" i="69"/>
  <c r="G63" i="69"/>
  <c r="F63" i="69"/>
  <c r="E63" i="69"/>
  <c r="D63" i="69"/>
  <c r="O62" i="69"/>
  <c r="N62" i="69"/>
  <c r="M62" i="69"/>
  <c r="L62" i="69"/>
  <c r="O61" i="69"/>
  <c r="N61" i="69"/>
  <c r="M61" i="69"/>
  <c r="L61" i="69"/>
  <c r="O60" i="69"/>
  <c r="N60" i="69"/>
  <c r="M60" i="69"/>
  <c r="L60" i="69"/>
  <c r="K60" i="69"/>
  <c r="J60" i="69"/>
  <c r="G60" i="69"/>
  <c r="F60" i="69"/>
  <c r="E60" i="69"/>
  <c r="D60" i="69"/>
  <c r="O59" i="69"/>
  <c r="N59" i="69"/>
  <c r="M59" i="69"/>
  <c r="L59" i="69"/>
  <c r="O58" i="69"/>
  <c r="N58" i="69"/>
  <c r="M58" i="69"/>
  <c r="L58" i="69"/>
  <c r="O57" i="69"/>
  <c r="N57" i="69"/>
  <c r="M57" i="69"/>
  <c r="L57" i="69"/>
  <c r="K57" i="69"/>
  <c r="J57" i="69"/>
  <c r="I57" i="69"/>
  <c r="H57" i="69"/>
  <c r="G57" i="69"/>
  <c r="F57" i="69"/>
  <c r="E57" i="69"/>
  <c r="D57" i="69"/>
  <c r="O54" i="69"/>
  <c r="N54" i="69"/>
  <c r="M54" i="69"/>
  <c r="L54" i="69"/>
  <c r="K54" i="69"/>
  <c r="I54" i="69"/>
  <c r="D54" i="69"/>
  <c r="L53" i="69"/>
  <c r="K53" i="69"/>
  <c r="I53" i="69"/>
  <c r="D53" i="69"/>
  <c r="D52" i="69"/>
  <c r="O47" i="69"/>
  <c r="N47" i="69"/>
  <c r="M47" i="69"/>
  <c r="L47" i="69"/>
  <c r="O46" i="69"/>
  <c r="N46" i="69"/>
  <c r="M46" i="69"/>
  <c r="L46" i="69"/>
  <c r="O44" i="69"/>
  <c r="N44" i="69"/>
  <c r="M44" i="69"/>
  <c r="L44" i="69"/>
  <c r="O43" i="69"/>
  <c r="N43" i="69"/>
  <c r="M43" i="69"/>
  <c r="L43" i="69"/>
  <c r="D42" i="69"/>
  <c r="D45" i="69" s="1"/>
  <c r="O31" i="69"/>
  <c r="N31" i="69"/>
  <c r="M31" i="69"/>
  <c r="L31" i="69"/>
  <c r="K31" i="69"/>
  <c r="J31" i="69"/>
  <c r="H31" i="69"/>
  <c r="G31" i="69"/>
  <c r="F31" i="69"/>
  <c r="E31" i="69"/>
  <c r="O30" i="69"/>
  <c r="N30" i="69"/>
  <c r="M30" i="69"/>
  <c r="L30" i="69"/>
  <c r="K30" i="69"/>
  <c r="J30" i="69"/>
  <c r="H30" i="69"/>
  <c r="G30" i="69"/>
  <c r="F30" i="69"/>
  <c r="E30" i="69"/>
  <c r="O29" i="69"/>
  <c r="N29" i="69"/>
  <c r="M29" i="69"/>
  <c r="L29" i="69"/>
  <c r="O28" i="69"/>
  <c r="N28" i="69"/>
  <c r="M28" i="69"/>
  <c r="L28" i="69"/>
  <c r="O27" i="69"/>
  <c r="N27" i="69"/>
  <c r="M27" i="69"/>
  <c r="L27" i="69"/>
  <c r="O26" i="69"/>
  <c r="N26" i="69"/>
  <c r="N64" i="69" s="1"/>
  <c r="M26" i="69"/>
  <c r="L26" i="69"/>
  <c r="H19" i="56"/>
  <c r="H47" i="69"/>
  <c r="D47" i="69"/>
  <c r="K46" i="69"/>
  <c r="J46" i="69"/>
  <c r="I46" i="69"/>
  <c r="H46" i="69"/>
  <c r="G46" i="69"/>
  <c r="F46" i="69"/>
  <c r="K28" i="69"/>
  <c r="J28" i="69"/>
  <c r="H28" i="69"/>
  <c r="G28" i="69"/>
  <c r="F28" i="69"/>
  <c r="E28" i="69"/>
  <c r="H18" i="55"/>
  <c r="D18" i="55"/>
  <c r="D19" i="62"/>
  <c r="D17" i="62" s="1"/>
  <c r="N10" i="1" s="1"/>
  <c r="E4" i="69"/>
  <c r="E52" i="69" s="1"/>
  <c r="C19" i="55"/>
  <c r="C19" i="60" s="1"/>
  <c r="C20" i="60" s="1"/>
  <c r="H26" i="69"/>
  <c r="G19" i="55"/>
  <c r="G19" i="60" s="1"/>
  <c r="C18" i="55"/>
  <c r="H27" i="69"/>
  <c r="G18" i="55"/>
  <c r="H59" i="69"/>
  <c r="D62" i="69"/>
  <c r="H62" i="69"/>
  <c r="H19" i="60"/>
  <c r="H18" i="56"/>
  <c r="E19" i="62"/>
  <c r="E19" i="36" s="1"/>
  <c r="E17" i="36" s="1"/>
  <c r="O11" i="1" s="1"/>
  <c r="J43" i="69"/>
  <c r="I19" i="55"/>
  <c r="I19" i="60" s="1"/>
  <c r="J58" i="69"/>
  <c r="I18" i="55"/>
  <c r="J59" i="69"/>
  <c r="F61" i="69"/>
  <c r="J61" i="69"/>
  <c r="F62" i="69"/>
  <c r="J62" i="69"/>
  <c r="I19" i="62"/>
  <c r="I19" i="36" s="1"/>
  <c r="I17" i="36" s="1"/>
  <c r="S11" i="1" s="1"/>
  <c r="K43" i="69"/>
  <c r="J19" i="55"/>
  <c r="J19" i="60" s="1"/>
  <c r="K58" i="69"/>
  <c r="J18" i="55"/>
  <c r="K59" i="69"/>
  <c r="G61" i="69"/>
  <c r="K61" i="69"/>
  <c r="G62" i="69"/>
  <c r="K62" i="69"/>
  <c r="H44" i="69"/>
  <c r="N49" i="69"/>
  <c r="E53" i="69"/>
  <c r="E54" i="69"/>
  <c r="H43" i="69"/>
  <c r="H61" i="69"/>
  <c r="I44" i="69"/>
  <c r="E59" i="69"/>
  <c r="I47" i="69"/>
  <c r="E62" i="69"/>
  <c r="E29" i="69"/>
  <c r="D59" i="69"/>
  <c r="H58" i="69"/>
  <c r="F54" i="69"/>
  <c r="F53" i="69"/>
  <c r="F19" i="62"/>
  <c r="F19" i="36" s="1"/>
  <c r="H29" i="69"/>
  <c r="J26" i="69"/>
  <c r="J27" i="69"/>
  <c r="J29" i="69"/>
  <c r="J44" i="69"/>
  <c r="J47" i="69"/>
  <c r="J53" i="69"/>
  <c r="J54" i="69"/>
  <c r="K26" i="69"/>
  <c r="K27" i="69"/>
  <c r="G29" i="69"/>
  <c r="K29" i="69"/>
  <c r="K44" i="69"/>
  <c r="G47" i="69"/>
  <c r="K47" i="69"/>
  <c r="G54" i="69"/>
  <c r="G53" i="69"/>
  <c r="G19" i="62"/>
  <c r="H53" i="69"/>
  <c r="H54" i="69"/>
  <c r="N17" i="65"/>
  <c r="X17" i="1" s="1"/>
  <c r="M17" i="65"/>
  <c r="W17" i="1" s="1"/>
  <c r="L17" i="65"/>
  <c r="V17" i="1" s="1"/>
  <c r="K17" i="65"/>
  <c r="J17" i="65"/>
  <c r="I17" i="65"/>
  <c r="R17" i="1"/>
  <c r="G17" i="65"/>
  <c r="Q17" i="1" s="1"/>
  <c r="F17" i="65"/>
  <c r="P17" i="1" s="1"/>
  <c r="E17" i="65"/>
  <c r="D17" i="65"/>
  <c r="N17" i="1" s="1"/>
  <c r="C17" i="65"/>
  <c r="M17" i="1" s="1"/>
  <c r="C17" i="64"/>
  <c r="M16" i="1" s="1"/>
  <c r="D17" i="64"/>
  <c r="N16" i="1" s="1"/>
  <c r="E17" i="64"/>
  <c r="O16" i="1" s="1"/>
  <c r="F17" i="64"/>
  <c r="P16" i="1" s="1"/>
  <c r="G17" i="64"/>
  <c r="Q16" i="1" s="1"/>
  <c r="H17" i="64"/>
  <c r="R16" i="1" s="1"/>
  <c r="I17" i="64"/>
  <c r="S16" i="1" s="1"/>
  <c r="J17" i="64"/>
  <c r="K17" i="64"/>
  <c r="U16" i="1" s="1"/>
  <c r="L17" i="64"/>
  <c r="V16" i="1" s="1"/>
  <c r="M17" i="64"/>
  <c r="W16" i="1" s="1"/>
  <c r="N17" i="64"/>
  <c r="X16" i="1" s="1"/>
  <c r="F5" i="66"/>
  <c r="F5" i="65"/>
  <c r="F5" i="64"/>
  <c r="F5" i="63"/>
  <c r="I9" i="60"/>
  <c r="O18" i="64"/>
  <c r="O17" i="64" s="1"/>
  <c r="L16" i="1" s="1"/>
  <c r="C19" i="61"/>
  <c r="D19" i="61" s="1"/>
  <c r="E19" i="61" s="1"/>
  <c r="O18" i="61"/>
  <c r="L22" i="63"/>
  <c r="H22" i="63"/>
  <c r="D22" i="63"/>
  <c r="L22" i="66"/>
  <c r="H22" i="66"/>
  <c r="D22" i="66"/>
  <c r="L22" i="68"/>
  <c r="H22" i="68"/>
  <c r="D22" i="68"/>
  <c r="L22" i="65"/>
  <c r="H22" i="65"/>
  <c r="D22" i="65"/>
  <c r="L22" i="64"/>
  <c r="H22" i="64"/>
  <c r="D22" i="64"/>
  <c r="J19" i="58"/>
  <c r="J18" i="58" s="1"/>
  <c r="J17" i="58" s="1"/>
  <c r="T13" i="1" s="1"/>
  <c r="J19" i="68"/>
  <c r="J17" i="68" s="1"/>
  <c r="T18" i="1" s="1"/>
  <c r="F19" i="68"/>
  <c r="F17" i="68" s="1"/>
  <c r="P18" i="1" s="1"/>
  <c r="I19" i="68"/>
  <c r="I17" i="68" s="1"/>
  <c r="S18" i="1" s="1"/>
  <c r="F19" i="58"/>
  <c r="F17" i="58" s="1"/>
  <c r="P13" i="1" s="1"/>
  <c r="I19" i="58"/>
  <c r="I9" i="68"/>
  <c r="F9" i="68"/>
  <c r="A9" i="68"/>
  <c r="G6" i="68"/>
  <c r="F5" i="68"/>
  <c r="F4" i="68"/>
  <c r="O18" i="68"/>
  <c r="L16" i="68"/>
  <c r="H16" i="68"/>
  <c r="D16" i="68"/>
  <c r="F3" i="68"/>
  <c r="I9" i="66"/>
  <c r="F9" i="66"/>
  <c r="A9" i="66"/>
  <c r="O17" i="1"/>
  <c r="S17" i="1"/>
  <c r="G17" i="63"/>
  <c r="Q15" i="1" s="1"/>
  <c r="J17" i="63"/>
  <c r="T15" i="1" s="1"/>
  <c r="K17" i="63"/>
  <c r="U15" i="1" s="1"/>
  <c r="L17" i="63"/>
  <c r="V15" i="1" s="1"/>
  <c r="M17" i="63"/>
  <c r="W15" i="1" s="1"/>
  <c r="I9" i="65"/>
  <c r="F9" i="65"/>
  <c r="A9" i="65"/>
  <c r="I9" i="64"/>
  <c r="F9" i="64"/>
  <c r="A9" i="64"/>
  <c r="I9" i="63"/>
  <c r="F9" i="63"/>
  <c r="A9" i="63"/>
  <c r="F4" i="66"/>
  <c r="F4" i="65"/>
  <c r="F4" i="64"/>
  <c r="F4" i="63"/>
  <c r="G6" i="66"/>
  <c r="G6" i="65"/>
  <c r="G6" i="64"/>
  <c r="G6" i="63"/>
  <c r="N16" i="66"/>
  <c r="J16" i="66"/>
  <c r="F16" i="66"/>
  <c r="K15" i="66"/>
  <c r="G15" i="66"/>
  <c r="F3" i="66"/>
  <c r="O18" i="65"/>
  <c r="O17" i="65" s="1"/>
  <c r="L17" i="1" s="1"/>
  <c r="U17" i="1"/>
  <c r="T17" i="1"/>
  <c r="N16" i="65"/>
  <c r="J16" i="65"/>
  <c r="F16" i="65"/>
  <c r="M15" i="65"/>
  <c r="I15" i="65"/>
  <c r="E15" i="65"/>
  <c r="F3" i="65"/>
  <c r="T16" i="1"/>
  <c r="N16" i="64"/>
  <c r="J16" i="64"/>
  <c r="F16" i="64"/>
  <c r="N15" i="64"/>
  <c r="M15" i="64"/>
  <c r="L15" i="64"/>
  <c r="K15" i="64"/>
  <c r="J15" i="64"/>
  <c r="I15" i="64"/>
  <c r="H15" i="64"/>
  <c r="G15" i="64"/>
  <c r="F15" i="64"/>
  <c r="E15" i="64"/>
  <c r="D15" i="64"/>
  <c r="F3" i="64"/>
  <c r="M16" i="63"/>
  <c r="I16" i="63"/>
  <c r="E16" i="63"/>
  <c r="F3" i="63"/>
  <c r="F5" i="59"/>
  <c r="F5" i="58"/>
  <c r="F5" i="38"/>
  <c r="F5" i="36"/>
  <c r="F5" i="62"/>
  <c r="F5" i="61"/>
  <c r="F5" i="60"/>
  <c r="F5" i="56"/>
  <c r="F5" i="55"/>
  <c r="F3" i="59"/>
  <c r="F3" i="58"/>
  <c r="F3" i="38"/>
  <c r="F3" i="36"/>
  <c r="F3" i="62"/>
  <c r="F3" i="61"/>
  <c r="F3" i="60"/>
  <c r="F3" i="56"/>
  <c r="F3" i="55"/>
  <c r="L22" i="62"/>
  <c r="H22" i="62"/>
  <c r="D22" i="62"/>
  <c r="I9" i="62"/>
  <c r="F9" i="62"/>
  <c r="A9" i="62"/>
  <c r="G6" i="62"/>
  <c r="F4" i="62"/>
  <c r="M17" i="62"/>
  <c r="W10" i="1" s="1"/>
  <c r="K17" i="62"/>
  <c r="U10" i="1" s="1"/>
  <c r="L16" i="62"/>
  <c r="H16" i="62"/>
  <c r="D16" i="62"/>
  <c r="N15" i="62"/>
  <c r="M15" i="62"/>
  <c r="L15" i="62"/>
  <c r="K15" i="62"/>
  <c r="J15" i="62"/>
  <c r="I15" i="62"/>
  <c r="H15" i="62"/>
  <c r="G15" i="62"/>
  <c r="F15" i="62"/>
  <c r="E15" i="62"/>
  <c r="D15" i="62"/>
  <c r="L23" i="61"/>
  <c r="H23" i="61"/>
  <c r="D23" i="61"/>
  <c r="I9" i="61"/>
  <c r="F9" i="61"/>
  <c r="A9" i="61"/>
  <c r="G6" i="61"/>
  <c r="F4" i="61"/>
  <c r="L23" i="60"/>
  <c r="H23" i="60"/>
  <c r="D23" i="60"/>
  <c r="F9" i="60"/>
  <c r="A9" i="60"/>
  <c r="G6" i="60"/>
  <c r="F4" i="60"/>
  <c r="M16" i="61"/>
  <c r="I16" i="61"/>
  <c r="E16" i="61"/>
  <c r="K15" i="61"/>
  <c r="G15" i="61"/>
  <c r="H9" i="61"/>
  <c r="K16" i="60"/>
  <c r="J16" i="60"/>
  <c r="G16" i="60"/>
  <c r="F16" i="60"/>
  <c r="N15" i="60"/>
  <c r="L15" i="60"/>
  <c r="J15" i="60"/>
  <c r="H15" i="60"/>
  <c r="F15" i="60"/>
  <c r="D15" i="60"/>
  <c r="H9" i="60"/>
  <c r="L22" i="59"/>
  <c r="H22" i="59"/>
  <c r="D22" i="59"/>
  <c r="I9" i="59"/>
  <c r="F9" i="59"/>
  <c r="A9" i="59"/>
  <c r="G6" i="59"/>
  <c r="F4" i="59"/>
  <c r="X14" i="1"/>
  <c r="V14" i="1"/>
  <c r="U14" i="1"/>
  <c r="T14" i="1"/>
  <c r="P14" i="1"/>
  <c r="L16" i="59"/>
  <c r="K16" i="59"/>
  <c r="H16" i="59"/>
  <c r="G16" i="59"/>
  <c r="D16" i="59"/>
  <c r="N15" i="59"/>
  <c r="M15" i="59"/>
  <c r="L15" i="59"/>
  <c r="K15" i="59"/>
  <c r="J15" i="59"/>
  <c r="I15" i="59"/>
  <c r="H15" i="59"/>
  <c r="G15" i="59"/>
  <c r="F15" i="59"/>
  <c r="E15" i="59"/>
  <c r="D15" i="59"/>
  <c r="H9" i="59"/>
  <c r="L22" i="58"/>
  <c r="H22" i="58"/>
  <c r="D22" i="58"/>
  <c r="I9" i="58"/>
  <c r="F9" i="58"/>
  <c r="A9" i="58"/>
  <c r="G6" i="58"/>
  <c r="F4" i="58"/>
  <c r="N16" i="58"/>
  <c r="L16" i="58"/>
  <c r="J16" i="58"/>
  <c r="H16" i="58"/>
  <c r="F16" i="58"/>
  <c r="D16" i="58"/>
  <c r="N15" i="58"/>
  <c r="J15" i="58"/>
  <c r="F15" i="58"/>
  <c r="L22" i="56"/>
  <c r="H22" i="56"/>
  <c r="D22" i="56"/>
  <c r="I9" i="56"/>
  <c r="F9" i="56"/>
  <c r="A9" i="56"/>
  <c r="G6" i="56"/>
  <c r="F4" i="56"/>
  <c r="M16" i="56"/>
  <c r="K16" i="56"/>
  <c r="I16" i="56"/>
  <c r="G16" i="56"/>
  <c r="E16" i="56"/>
  <c r="N15" i="56"/>
  <c r="J15" i="56"/>
  <c r="F15" i="56"/>
  <c r="H9" i="56"/>
  <c r="L22" i="55"/>
  <c r="H22" i="55"/>
  <c r="D22" i="55"/>
  <c r="I9" i="55"/>
  <c r="F9" i="55"/>
  <c r="A9" i="55"/>
  <c r="G6" i="55"/>
  <c r="F4" i="55"/>
  <c r="L17" i="55"/>
  <c r="V6" i="1" s="1"/>
  <c r="K17" i="55"/>
  <c r="U6" i="1" s="1"/>
  <c r="N16" i="55"/>
  <c r="K16" i="55"/>
  <c r="J16" i="55"/>
  <c r="G16" i="55"/>
  <c r="F16" i="55"/>
  <c r="N15" i="55"/>
  <c r="M15" i="55"/>
  <c r="L15" i="55"/>
  <c r="K15" i="55"/>
  <c r="J15" i="55"/>
  <c r="I15" i="55"/>
  <c r="H15" i="55"/>
  <c r="G15" i="55"/>
  <c r="F15" i="55"/>
  <c r="E15" i="55"/>
  <c r="D15" i="55"/>
  <c r="H9" i="55"/>
  <c r="G6" i="38"/>
  <c r="G6" i="36"/>
  <c r="M16" i="36"/>
  <c r="K16" i="36"/>
  <c r="I16" i="36"/>
  <c r="G16" i="36"/>
  <c r="E16" i="36"/>
  <c r="M15" i="36"/>
  <c r="I15" i="36"/>
  <c r="E15" i="36"/>
  <c r="L22" i="38"/>
  <c r="H22" i="38"/>
  <c r="D22" i="38"/>
  <c r="I9" i="38"/>
  <c r="F9" i="38"/>
  <c r="A9" i="38"/>
  <c r="F4" i="38"/>
  <c r="N16" i="38"/>
  <c r="M16" i="38"/>
  <c r="J16" i="38"/>
  <c r="I16" i="38"/>
  <c r="F16" i="38"/>
  <c r="E16" i="38"/>
  <c r="N15" i="38"/>
  <c r="M15" i="38"/>
  <c r="L15" i="38"/>
  <c r="K15" i="38"/>
  <c r="J15" i="38"/>
  <c r="I15" i="38"/>
  <c r="H15" i="38"/>
  <c r="G15" i="38"/>
  <c r="F15" i="38"/>
  <c r="E15" i="38"/>
  <c r="D15" i="38"/>
  <c r="L22" i="36"/>
  <c r="H22" i="36"/>
  <c r="D22" i="36"/>
  <c r="I9" i="36"/>
  <c r="F9" i="36"/>
  <c r="A9" i="36"/>
  <c r="F4" i="36"/>
  <c r="O49" i="69" l="1"/>
  <c r="J17" i="62"/>
  <c r="T10" i="1" s="1"/>
  <c r="M17" i="55"/>
  <c r="W6" i="1" s="1"/>
  <c r="I17" i="63"/>
  <c r="S15" i="1" s="1"/>
  <c r="J49" i="69"/>
  <c r="E17" i="63"/>
  <c r="O15" i="1" s="1"/>
  <c r="D19" i="36"/>
  <c r="D17" i="36" s="1"/>
  <c r="N11" i="1" s="1"/>
  <c r="F15" i="36"/>
  <c r="J15" i="36"/>
  <c r="N15" i="36"/>
  <c r="G15" i="56"/>
  <c r="K15" i="56"/>
  <c r="G15" i="58"/>
  <c r="K15" i="58"/>
  <c r="D15" i="61"/>
  <c r="H15" i="61"/>
  <c r="L15" i="61"/>
  <c r="F15" i="63"/>
  <c r="F15" i="65"/>
  <c r="J15" i="65"/>
  <c r="N15" i="65"/>
  <c r="D15" i="66"/>
  <c r="H15" i="66"/>
  <c r="L15" i="66"/>
  <c r="H15" i="56"/>
  <c r="L15" i="56"/>
  <c r="D15" i="58"/>
  <c r="H15" i="58"/>
  <c r="L15" i="58"/>
  <c r="E15" i="61"/>
  <c r="I15" i="61"/>
  <c r="M15" i="61"/>
  <c r="G15" i="65"/>
  <c r="K15" i="65"/>
  <c r="E15" i="66"/>
  <c r="I15" i="66"/>
  <c r="M15" i="66"/>
  <c r="G15" i="36"/>
  <c r="K15" i="36"/>
  <c r="D15" i="56"/>
  <c r="D15" i="36"/>
  <c r="H15" i="36"/>
  <c r="L15" i="36"/>
  <c r="E15" i="56"/>
  <c r="I15" i="56"/>
  <c r="M15" i="56"/>
  <c r="E15" i="58"/>
  <c r="I15" i="58"/>
  <c r="M15" i="58"/>
  <c r="F15" i="61"/>
  <c r="J15" i="61"/>
  <c r="N15" i="61"/>
  <c r="D15" i="65"/>
  <c r="H15" i="65"/>
  <c r="L15" i="65"/>
  <c r="F15" i="66"/>
  <c r="J15" i="66"/>
  <c r="N15" i="66"/>
  <c r="I49" i="69"/>
  <c r="L16" i="61"/>
  <c r="C16" i="61"/>
  <c r="L16" i="36"/>
  <c r="C16" i="36"/>
  <c r="M16" i="65"/>
  <c r="C16" i="65"/>
  <c r="M16" i="66"/>
  <c r="C16" i="66"/>
  <c r="G17" i="55"/>
  <c r="Q6" i="1" s="1"/>
  <c r="C17" i="63"/>
  <c r="M15" i="1" s="1"/>
  <c r="C17" i="36"/>
  <c r="M11" i="1" s="1"/>
  <c r="M16" i="55"/>
  <c r="C16" i="55"/>
  <c r="L16" i="38"/>
  <c r="C16" i="38"/>
  <c r="N16" i="59"/>
  <c r="C16" i="59"/>
  <c r="M16" i="64"/>
  <c r="C16" i="64"/>
  <c r="E15" i="68"/>
  <c r="G15" i="68"/>
  <c r="I15" i="68"/>
  <c r="K15" i="68"/>
  <c r="M15" i="68"/>
  <c r="D15" i="68"/>
  <c r="F15" i="68"/>
  <c r="H15" i="68"/>
  <c r="J15" i="68"/>
  <c r="L15" i="68"/>
  <c r="N15" i="68"/>
  <c r="L16" i="63"/>
  <c r="C16" i="63"/>
  <c r="M15" i="63"/>
  <c r="C15" i="63"/>
  <c r="J15" i="63"/>
  <c r="N16" i="60"/>
  <c r="C16" i="60"/>
  <c r="E15" i="60"/>
  <c r="G15" i="60"/>
  <c r="I15" i="60"/>
  <c r="K15" i="60"/>
  <c r="M15" i="60"/>
  <c r="L16" i="56"/>
  <c r="C16" i="56"/>
  <c r="J48" i="69"/>
  <c r="N17" i="62"/>
  <c r="X10" i="1" s="1"/>
  <c r="D19" i="58"/>
  <c r="D17" i="58" s="1"/>
  <c r="N13" i="1" s="1"/>
  <c r="G15" i="63"/>
  <c r="K15" i="63"/>
  <c r="F17" i="63"/>
  <c r="P15" i="1" s="1"/>
  <c r="D15" i="63"/>
  <c r="H15" i="63"/>
  <c r="L15" i="63"/>
  <c r="E15" i="63"/>
  <c r="I15" i="63"/>
  <c r="H9" i="36"/>
  <c r="F16" i="36"/>
  <c r="J16" i="36"/>
  <c r="N16" i="36"/>
  <c r="N17" i="55"/>
  <c r="X6" i="1" s="1"/>
  <c r="F16" i="56"/>
  <c r="J16" i="56"/>
  <c r="N16" i="56"/>
  <c r="E16" i="58"/>
  <c r="I16" i="58"/>
  <c r="M16" i="58"/>
  <c r="F16" i="61"/>
  <c r="J16" i="61"/>
  <c r="N16" i="61"/>
  <c r="F16" i="63"/>
  <c r="J16" i="63"/>
  <c r="N16" i="63"/>
  <c r="H9" i="65"/>
  <c r="G16" i="65"/>
  <c r="K16" i="65"/>
  <c r="G16" i="66"/>
  <c r="K16" i="66"/>
  <c r="J19" i="36"/>
  <c r="J17" i="36" s="1"/>
  <c r="T11" i="1" s="1"/>
  <c r="E27" i="69"/>
  <c r="D18" i="56" s="1"/>
  <c r="D44" i="69"/>
  <c r="N65" i="69"/>
  <c r="N19" i="38"/>
  <c r="N19" i="66" s="1"/>
  <c r="J19" i="38"/>
  <c r="J19" i="66" s="1"/>
  <c r="N19" i="58"/>
  <c r="G16" i="61"/>
  <c r="K16" i="61"/>
  <c r="E17" i="62"/>
  <c r="O10" i="1" s="1"/>
  <c r="H9" i="63"/>
  <c r="G16" i="63"/>
  <c r="K16" i="63"/>
  <c r="D16" i="65"/>
  <c r="H16" i="65"/>
  <c r="L16" i="65"/>
  <c r="D16" i="66"/>
  <c r="H16" i="66"/>
  <c r="L16" i="66"/>
  <c r="H9" i="66"/>
  <c r="E19" i="68"/>
  <c r="E17" i="68" s="1"/>
  <c r="O18" i="1" s="1"/>
  <c r="D16" i="36"/>
  <c r="H16" i="36"/>
  <c r="D16" i="56"/>
  <c r="H16" i="56"/>
  <c r="H9" i="58"/>
  <c r="G16" i="58"/>
  <c r="K16" i="58"/>
  <c r="D16" i="61"/>
  <c r="H16" i="61"/>
  <c r="D16" i="63"/>
  <c r="H16" i="63"/>
  <c r="E16" i="65"/>
  <c r="I16" i="65"/>
  <c r="E16" i="66"/>
  <c r="I16" i="66"/>
  <c r="G26" i="69"/>
  <c r="G32" i="69" s="1"/>
  <c r="F47" i="69"/>
  <c r="F49" i="69" s="1"/>
  <c r="N33" i="69"/>
  <c r="M49" i="69"/>
  <c r="D58" i="69"/>
  <c r="E61" i="69"/>
  <c r="E19" i="55"/>
  <c r="E19" i="60" s="1"/>
  <c r="F59" i="69"/>
  <c r="F19" i="55"/>
  <c r="F19" i="60" s="1"/>
  <c r="M66" i="69"/>
  <c r="M48" i="69"/>
  <c r="G17" i="62"/>
  <c r="Q10" i="1" s="1"/>
  <c r="G49" i="69"/>
  <c r="C19" i="56"/>
  <c r="C17" i="61"/>
  <c r="M9" i="1" s="1"/>
  <c r="E65" i="69"/>
  <c r="N19" i="56"/>
  <c r="G66" i="69"/>
  <c r="K48" i="69"/>
  <c r="D66" i="69"/>
  <c r="K64" i="69"/>
  <c r="F4" i="69"/>
  <c r="F66" i="69"/>
  <c r="G58" i="69"/>
  <c r="F17" i="36"/>
  <c r="P11" i="1" s="1"/>
  <c r="K49" i="69"/>
  <c r="K18" i="56"/>
  <c r="L65" i="69"/>
  <c r="H66" i="69"/>
  <c r="E66" i="69"/>
  <c r="J66" i="69"/>
  <c r="L19" i="58"/>
  <c r="E32" i="69"/>
  <c r="O48" i="69"/>
  <c r="N18" i="56"/>
  <c r="L49" i="69"/>
  <c r="O18" i="36"/>
  <c r="O18" i="63"/>
  <c r="I19" i="38"/>
  <c r="I17" i="38" s="1"/>
  <c r="S12" i="1" s="1"/>
  <c r="D17" i="63"/>
  <c r="N15" i="1" s="1"/>
  <c r="C19" i="38"/>
  <c r="C17" i="38" s="1"/>
  <c r="M12" i="1" s="1"/>
  <c r="M19" i="68"/>
  <c r="M17" i="68" s="1"/>
  <c r="W18" i="1" s="1"/>
  <c r="O18" i="38"/>
  <c r="F19" i="61"/>
  <c r="G19" i="61" s="1"/>
  <c r="H19" i="61" s="1"/>
  <c r="M18" i="58"/>
  <c r="M17" i="58" s="1"/>
  <c r="W13" i="1" s="1"/>
  <c r="G16" i="38"/>
  <c r="K16" i="38"/>
  <c r="H9" i="38"/>
  <c r="D16" i="55"/>
  <c r="H16" i="55"/>
  <c r="L16" i="55"/>
  <c r="E16" i="59"/>
  <c r="I16" i="59"/>
  <c r="M16" i="59"/>
  <c r="D16" i="60"/>
  <c r="H16" i="60"/>
  <c r="L16" i="60"/>
  <c r="E16" i="62"/>
  <c r="I16" i="62"/>
  <c r="M16" i="62"/>
  <c r="F17" i="62"/>
  <c r="P10" i="1" s="1"/>
  <c r="O18" i="62"/>
  <c r="H9" i="64"/>
  <c r="G16" i="64"/>
  <c r="K16" i="64"/>
  <c r="E16" i="68"/>
  <c r="I16" i="68"/>
  <c r="M16" i="68"/>
  <c r="C19" i="58"/>
  <c r="C17" i="58" s="1"/>
  <c r="M13" i="1" s="1"/>
  <c r="G19" i="36"/>
  <c r="G17" i="36" s="1"/>
  <c r="Q11" i="1" s="1"/>
  <c r="D17" i="61"/>
  <c r="N9" i="1" s="1"/>
  <c r="G65" i="69"/>
  <c r="E58" i="69"/>
  <c r="O64" i="69"/>
  <c r="D19" i="55"/>
  <c r="L33" i="69"/>
  <c r="D43" i="69"/>
  <c r="D48" i="69" s="1"/>
  <c r="D49" i="69"/>
  <c r="L18" i="56"/>
  <c r="M32" i="69"/>
  <c r="D19" i="56"/>
  <c r="D16" i="38"/>
  <c r="H16" i="38"/>
  <c r="E16" i="55"/>
  <c r="I16" i="55"/>
  <c r="C17" i="55"/>
  <c r="M6" i="1" s="1"/>
  <c r="J17" i="55"/>
  <c r="T6" i="1" s="1"/>
  <c r="I17" i="58"/>
  <c r="S13" i="1" s="1"/>
  <c r="F16" i="59"/>
  <c r="J16" i="59"/>
  <c r="E16" i="60"/>
  <c r="I16" i="60"/>
  <c r="M16" i="60"/>
  <c r="F16" i="62"/>
  <c r="J16" i="62"/>
  <c r="N16" i="62"/>
  <c r="L17" i="62"/>
  <c r="V10" i="1" s="1"/>
  <c r="D16" i="64"/>
  <c r="H16" i="64"/>
  <c r="L16" i="64"/>
  <c r="F16" i="68"/>
  <c r="J16" i="68"/>
  <c r="N16" i="68"/>
  <c r="G19" i="68"/>
  <c r="G17" i="68" s="1"/>
  <c r="Q18" i="1" s="1"/>
  <c r="F29" i="69"/>
  <c r="F65" i="69" s="1"/>
  <c r="F26" i="69"/>
  <c r="F64" i="69" s="1"/>
  <c r="I48" i="69"/>
  <c r="F18" i="55"/>
  <c r="E18" i="55"/>
  <c r="E46" i="69"/>
  <c r="E49" i="69" s="1"/>
  <c r="M19" i="56"/>
  <c r="M18" i="56"/>
  <c r="O66" i="69"/>
  <c r="L66" i="69"/>
  <c r="G19" i="38"/>
  <c r="G19" i="66" s="1"/>
  <c r="K19" i="58"/>
  <c r="H9" i="62"/>
  <c r="G16" i="62"/>
  <c r="K16" i="62"/>
  <c r="E16" i="64"/>
  <c r="I16" i="64"/>
  <c r="H9" i="68"/>
  <c r="G16" i="68"/>
  <c r="K16" i="68"/>
  <c r="G44" i="69"/>
  <c r="G48" i="69" s="1"/>
  <c r="G27" i="69"/>
  <c r="G33" i="69" s="1"/>
  <c r="F44" i="69"/>
  <c r="F48" i="69" s="1"/>
  <c r="G59" i="69"/>
  <c r="E43" i="69"/>
  <c r="E48" i="69" s="1"/>
  <c r="F58" i="69"/>
  <c r="K32" i="69"/>
  <c r="F19" i="38"/>
  <c r="F19" i="66" s="1"/>
  <c r="J64" i="69"/>
  <c r="J65" i="69"/>
  <c r="I17" i="55"/>
  <c r="S6" i="1" s="1"/>
  <c r="I17" i="62"/>
  <c r="S10" i="1" s="1"/>
  <c r="K19" i="56"/>
  <c r="N66" i="69"/>
  <c r="L48" i="69"/>
  <c r="K65" i="69"/>
  <c r="I19" i="56"/>
  <c r="L19" i="56"/>
  <c r="O32" i="69"/>
  <c r="O65" i="69"/>
  <c r="J19" i="56"/>
  <c r="K66" i="69"/>
  <c r="C17" i="62"/>
  <c r="M10" i="1" s="1"/>
  <c r="E19" i="38"/>
  <c r="E19" i="66" s="1"/>
  <c r="N48" i="69"/>
  <c r="I18" i="56"/>
  <c r="G19" i="56"/>
  <c r="M65" i="69"/>
  <c r="H17" i="56"/>
  <c r="R7" i="1" s="1"/>
  <c r="H17" i="55"/>
  <c r="R6" i="1" s="1"/>
  <c r="H17" i="62"/>
  <c r="R10" i="1" s="1"/>
  <c r="H17" i="58"/>
  <c r="R13" i="1" s="1"/>
  <c r="O19" i="62"/>
  <c r="H19" i="68"/>
  <c r="H17" i="68" s="1"/>
  <c r="R18" i="1" s="1"/>
  <c r="O19" i="36"/>
  <c r="H17" i="36"/>
  <c r="R11" i="1" s="1"/>
  <c r="M17" i="38"/>
  <c r="W12" i="1" s="1"/>
  <c r="L17" i="38"/>
  <c r="V12" i="1" s="1"/>
  <c r="H19" i="66"/>
  <c r="H17" i="38"/>
  <c r="R12" i="1" s="1"/>
  <c r="D17" i="38"/>
  <c r="N12" i="1" s="1"/>
  <c r="D19" i="66"/>
  <c r="E17" i="61"/>
  <c r="O9" i="1" s="1"/>
  <c r="K17" i="38"/>
  <c r="U12" i="1" s="1"/>
  <c r="J18" i="56"/>
  <c r="O33" i="69"/>
  <c r="N32" i="69"/>
  <c r="L32" i="69"/>
  <c r="M33" i="69"/>
  <c r="J32" i="69"/>
  <c r="J33" i="69"/>
  <c r="K33" i="69"/>
  <c r="E42" i="69"/>
  <c r="E45" i="69" s="1"/>
  <c r="M64" i="69"/>
  <c r="G4" i="69"/>
  <c r="D65" i="69"/>
  <c r="L64" i="69"/>
  <c r="H64" i="69"/>
  <c r="H49" i="69"/>
  <c r="H17" i="63"/>
  <c r="R15" i="1" s="1"/>
  <c r="O19" i="63"/>
  <c r="G18" i="56"/>
  <c r="H65" i="69"/>
  <c r="H33" i="69"/>
  <c r="H48" i="69"/>
  <c r="H32" i="69"/>
  <c r="N17" i="56" l="1"/>
  <c r="X7" i="1" s="1"/>
  <c r="M17" i="56"/>
  <c r="W7" i="1" s="1"/>
  <c r="L17" i="56"/>
  <c r="V7" i="1" s="1"/>
  <c r="K17" i="56"/>
  <c r="U7" i="1" s="1"/>
  <c r="I19" i="66"/>
  <c r="F17" i="38"/>
  <c r="P12" i="1" s="1"/>
  <c r="D17" i="56"/>
  <c r="N7" i="1" s="1"/>
  <c r="F33" i="69"/>
  <c r="E18" i="56"/>
  <c r="E17" i="55"/>
  <c r="O6" i="1" s="1"/>
  <c r="O37" i="69"/>
  <c r="N18" i="60" s="1"/>
  <c r="M37" i="69"/>
  <c r="L18" i="60" s="1"/>
  <c r="N67" i="69"/>
  <c r="N37" i="69"/>
  <c r="M18" i="60" s="1"/>
  <c r="C18" i="56"/>
  <c r="C17" i="56" s="1"/>
  <c r="M7" i="1" s="1"/>
  <c r="D64" i="69"/>
  <c r="G67" i="69"/>
  <c r="E64" i="69"/>
  <c r="O19" i="58"/>
  <c r="F17" i="55"/>
  <c r="P6" i="1" s="1"/>
  <c r="J17" i="38"/>
  <c r="T12" i="1" s="1"/>
  <c r="E33" i="69"/>
  <c r="E67" i="69" s="1"/>
  <c r="O19" i="55"/>
  <c r="F19" i="56"/>
  <c r="N18" i="58"/>
  <c r="N17" i="58" s="1"/>
  <c r="X13" i="1" s="1"/>
  <c r="C19" i="66"/>
  <c r="G17" i="38"/>
  <c r="Q12" i="1" s="1"/>
  <c r="G64" i="69"/>
  <c r="N17" i="38"/>
  <c r="X12" i="1" s="1"/>
  <c r="O17" i="36"/>
  <c r="L11" i="1" s="1"/>
  <c r="M67" i="69"/>
  <c r="E17" i="38"/>
  <c r="O12" i="1" s="1"/>
  <c r="L67" i="69"/>
  <c r="L37" i="69"/>
  <c r="K18" i="60" s="1"/>
  <c r="O18" i="55"/>
  <c r="K37" i="69"/>
  <c r="J18" i="60" s="1"/>
  <c r="J17" i="56"/>
  <c r="T7" i="1" s="1"/>
  <c r="O17" i="63"/>
  <c r="L15" i="1" s="1"/>
  <c r="O17" i="62"/>
  <c r="L10" i="1" s="1"/>
  <c r="J37" i="69"/>
  <c r="I18" i="60" s="1"/>
  <c r="F42" i="69"/>
  <c r="F45" i="69" s="1"/>
  <c r="F52" i="69"/>
  <c r="D67" i="69"/>
  <c r="D37" i="69"/>
  <c r="C18" i="60" s="1"/>
  <c r="I19" i="61"/>
  <c r="J19" i="61" s="1"/>
  <c r="H37" i="69"/>
  <c r="G18" i="60" s="1"/>
  <c r="G37" i="69"/>
  <c r="F18" i="60" s="1"/>
  <c r="F18" i="56"/>
  <c r="L18" i="58"/>
  <c r="O19" i="38"/>
  <c r="O17" i="38" s="1"/>
  <c r="L12" i="1" s="1"/>
  <c r="K18" i="58"/>
  <c r="K17" i="58" s="1"/>
  <c r="U13" i="1" s="1"/>
  <c r="O67" i="69"/>
  <c r="E19" i="56"/>
  <c r="F32" i="69"/>
  <c r="K67" i="69"/>
  <c r="D19" i="60"/>
  <c r="D17" i="55"/>
  <c r="N6" i="1" s="1"/>
  <c r="I17" i="56"/>
  <c r="S7" i="1" s="1"/>
  <c r="J67" i="69"/>
  <c r="O19" i="68"/>
  <c r="O17" i="68" s="1"/>
  <c r="L18" i="1" s="1"/>
  <c r="G42" i="69"/>
  <c r="G45" i="69" s="1"/>
  <c r="H4" i="69"/>
  <c r="G52" i="69"/>
  <c r="F17" i="61"/>
  <c r="P9" i="1" s="1"/>
  <c r="H17" i="66"/>
  <c r="R19" i="1" s="1"/>
  <c r="I17" i="66"/>
  <c r="S19" i="1" s="1"/>
  <c r="J17" i="66"/>
  <c r="T19" i="1" s="1"/>
  <c r="E17" i="66"/>
  <c r="O19" i="1" s="1"/>
  <c r="M17" i="66"/>
  <c r="W19" i="1" s="1"/>
  <c r="G17" i="58"/>
  <c r="Q13" i="1" s="1"/>
  <c r="G17" i="56"/>
  <c r="Q7" i="1" s="1"/>
  <c r="K17" i="66"/>
  <c r="U19" i="1" s="1"/>
  <c r="D17" i="66"/>
  <c r="N19" i="1" s="1"/>
  <c r="F17" i="66"/>
  <c r="P19" i="1" s="1"/>
  <c r="N17" i="66"/>
  <c r="X19" i="1" s="1"/>
  <c r="L17" i="66"/>
  <c r="V19" i="1" s="1"/>
  <c r="H67" i="69"/>
  <c r="O19" i="66" l="1"/>
  <c r="E17" i="56"/>
  <c r="O7" i="1" s="1"/>
  <c r="F17" i="56"/>
  <c r="P7" i="1" s="1"/>
  <c r="E37" i="69"/>
  <c r="D18" i="60" s="1"/>
  <c r="C17" i="66"/>
  <c r="M19" i="1" s="1"/>
  <c r="O18" i="56"/>
  <c r="O18" i="58"/>
  <c r="O17" i="58" s="1"/>
  <c r="L13" i="1" s="1"/>
  <c r="O17" i="55"/>
  <c r="L6" i="1" s="1"/>
  <c r="L17" i="58"/>
  <c r="V13" i="1" s="1"/>
  <c r="K19" i="61"/>
  <c r="L19" i="61" s="1"/>
  <c r="M19" i="61" s="1"/>
  <c r="N19" i="61" s="1"/>
  <c r="O19" i="56"/>
  <c r="F67" i="69"/>
  <c r="F37" i="69"/>
  <c r="E18" i="60" s="1"/>
  <c r="C17" i="60"/>
  <c r="M8" i="1" s="1"/>
  <c r="D20" i="60"/>
  <c r="O19" i="60"/>
  <c r="O18" i="66"/>
  <c r="G17" i="61"/>
  <c r="Q9" i="1" s="1"/>
  <c r="H42" i="69"/>
  <c r="H45" i="69" s="1"/>
  <c r="I4" i="69"/>
  <c r="H52" i="69"/>
  <c r="G17" i="66"/>
  <c r="Q19" i="1" s="1"/>
  <c r="O17" i="66" l="1"/>
  <c r="L19" i="1" s="1"/>
  <c r="O18" i="60"/>
  <c r="O17" i="56"/>
  <c r="L7" i="1" s="1"/>
  <c r="O19" i="61"/>
  <c r="D17" i="60"/>
  <c r="N8" i="1" s="1"/>
  <c r="E20" i="60"/>
  <c r="I52" i="69"/>
  <c r="J4" i="69"/>
  <c r="I42" i="69"/>
  <c r="I45" i="69" s="1"/>
  <c r="H17" i="61"/>
  <c r="R9" i="1" s="1"/>
  <c r="F20" i="60" l="1"/>
  <c r="E17" i="60"/>
  <c r="O8" i="1" s="1"/>
  <c r="K4" i="69"/>
  <c r="J52" i="69"/>
  <c r="J42" i="69"/>
  <c r="J45" i="69" s="1"/>
  <c r="I17" i="61"/>
  <c r="S9" i="1" s="1"/>
  <c r="F17" i="60" l="1"/>
  <c r="P8" i="1" s="1"/>
  <c r="G20" i="60"/>
  <c r="J17" i="61"/>
  <c r="T9" i="1" s="1"/>
  <c r="L4" i="69"/>
  <c r="K52" i="69"/>
  <c r="K42" i="69"/>
  <c r="K45" i="69" s="1"/>
  <c r="H20" i="60" l="1"/>
  <c r="G17" i="60"/>
  <c r="Q8" i="1" s="1"/>
  <c r="M4" i="69"/>
  <c r="L52" i="69"/>
  <c r="L42" i="69"/>
  <c r="L45" i="69" s="1"/>
  <c r="K17" i="61"/>
  <c r="U9" i="1" s="1"/>
  <c r="I20" i="60" l="1"/>
  <c r="H17" i="60"/>
  <c r="R8" i="1" s="1"/>
  <c r="L17" i="61"/>
  <c r="V9" i="1" s="1"/>
  <c r="N4" i="69"/>
  <c r="M52" i="69"/>
  <c r="M42" i="69"/>
  <c r="M45" i="69" s="1"/>
  <c r="J20" i="60" l="1"/>
  <c r="I17" i="60"/>
  <c r="S8" i="1" s="1"/>
  <c r="O4" i="69"/>
  <c r="N52" i="69"/>
  <c r="N42" i="69"/>
  <c r="N45" i="69" s="1"/>
  <c r="M17" i="61"/>
  <c r="W9" i="1" s="1"/>
  <c r="J17" i="60" l="1"/>
  <c r="T8" i="1" s="1"/>
  <c r="K20" i="60"/>
  <c r="N17" i="61"/>
  <c r="X9" i="1" s="1"/>
  <c r="O20" i="61"/>
  <c r="O17" i="61" s="1"/>
  <c r="L9" i="1" s="1"/>
  <c r="O52" i="69"/>
  <c r="O42" i="69"/>
  <c r="O45" i="69" s="1"/>
  <c r="L20" i="60" l="1"/>
  <c r="K17" i="60"/>
  <c r="U8" i="1" s="1"/>
  <c r="M20" i="60" l="1"/>
  <c r="L17" i="60"/>
  <c r="V8" i="1" s="1"/>
  <c r="M17" i="60" l="1"/>
  <c r="W8" i="1" s="1"/>
  <c r="N20" i="60"/>
  <c r="N17" i="60" s="1"/>
  <c r="X8" i="1" s="1"/>
  <c r="O20" i="60" l="1"/>
  <c r="O17" i="60" s="1"/>
  <c r="L8" i="1" s="1"/>
</calcChain>
</file>

<file path=xl/comments1.xml><?xml version="1.0" encoding="utf-8"?>
<comments xmlns="http://schemas.openxmlformats.org/spreadsheetml/2006/main">
  <authors>
    <author>WILSON</author>
  </authors>
  <commentList>
    <comment ref="J4" authorId="0">
      <text>
        <r>
          <rPr>
            <sz val="9"/>
            <color indexed="81"/>
            <rFont val="Tahoma"/>
            <family val="2"/>
          </rPr>
          <t xml:space="preserve">
Recomendable dejar como línea base el resultado final del indicador en el año inmediatamente anterior</t>
        </r>
      </text>
    </comment>
    <comment ref="K4" authorId="0">
      <text>
        <r>
          <rPr>
            <sz val="9"/>
            <color indexed="81"/>
            <rFont val="Tahoma"/>
            <family val="2"/>
          </rPr>
          <t xml:space="preserve">
Importante aquí establecer para cada indicador la meta final deseada de forma razonable, que se proyecta al cierre de la presente vigencia</t>
        </r>
      </text>
    </comment>
  </commentList>
</comments>
</file>

<file path=xl/sharedStrings.xml><?xml version="1.0" encoding="utf-8"?>
<sst xmlns="http://schemas.openxmlformats.org/spreadsheetml/2006/main" count="1210" uniqueCount="274">
  <si>
    <t>PROCESO</t>
  </si>
  <si>
    <t>NOMBRE DEL INDICADOR</t>
  </si>
  <si>
    <t>OBJETIVO DEL INDICADOR</t>
  </si>
  <si>
    <t xml:space="preserve"> </t>
  </si>
  <si>
    <t>Mensual</t>
  </si>
  <si>
    <t>FORMULA DEL INDICADOR</t>
  </si>
  <si>
    <t>INTERPRETACIÓN SITUACIÓN</t>
  </si>
  <si>
    <t>OPTIMA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</si>
  <si>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</si>
  <si>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</si>
  <si>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</si>
  <si>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</si>
  <si>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</si>
  <si>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</si>
  <si>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</si>
  <si>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</si>
  <si>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</si>
  <si>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</si>
  <si>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</si>
  <si>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</si>
  <si>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r>
      <rPr>
        <sz val="10"/>
        <rFont val="Tahoma"/>
        <family val="2"/>
      </rPr>
      <t xml:space="preserve">FORMATO: </t>
    </r>
    <r>
      <rPr>
        <b/>
        <sz val="10"/>
        <rFont val="Tahoma"/>
        <family val="2"/>
      </rPr>
      <t>MATRIZ DE REGISTRO Y MEDICIÓN DE INDICADORES</t>
    </r>
  </si>
  <si>
    <t>CÓDIGO DEL INDICADOR</t>
  </si>
  <si>
    <t>Objetivo</t>
  </si>
  <si>
    <t>Unidad de medida</t>
  </si>
  <si>
    <t>Formula</t>
  </si>
  <si>
    <t>Meta</t>
  </si>
  <si>
    <t>Frecuencia</t>
  </si>
  <si>
    <t>Fuente de Información</t>
  </si>
  <si>
    <t>Responsable</t>
  </si>
  <si>
    <t>Por obtener Datos</t>
  </si>
  <si>
    <t>Por Análizar Datos</t>
  </si>
  <si>
    <t>MEDICIÓN DE DATOS:</t>
  </si>
  <si>
    <t>MES</t>
  </si>
  <si>
    <t>ACUM</t>
  </si>
  <si>
    <t>RANGOS DE EVALUACIÓN</t>
  </si>
  <si>
    <t>%</t>
  </si>
  <si>
    <t>ANÁLISIS GRÁFICO (Tendencia del indicador)</t>
  </si>
  <si>
    <t>VARIABLES</t>
  </si>
  <si>
    <t>METODOLOGIA PARA OBTENER LOS DATOS:</t>
  </si>
  <si>
    <t>LINEA BASE</t>
  </si>
  <si>
    <t>PERIODICIDAD REPORTE</t>
  </si>
  <si>
    <t>IN01</t>
  </si>
  <si>
    <t>IN02</t>
  </si>
  <si>
    <t>IN03</t>
  </si>
  <si>
    <t>IN04</t>
  </si>
  <si>
    <t>IN05</t>
  </si>
  <si>
    <t>IN06</t>
  </si>
  <si>
    <t>IN07</t>
  </si>
  <si>
    <t>IN08</t>
  </si>
  <si>
    <t>IN09</t>
  </si>
  <si>
    <t>SET INDICADORES GESTIÓN</t>
  </si>
  <si>
    <t xml:space="preserve">PROCESO: </t>
  </si>
  <si>
    <t>Anual</t>
  </si>
  <si>
    <t>Trimestral</t>
  </si>
  <si>
    <t>Acum.</t>
  </si>
  <si>
    <t>TIPO DE INDICADOR</t>
  </si>
  <si>
    <t>Eficacia</t>
  </si>
  <si>
    <t>Efectividad</t>
  </si>
  <si>
    <r>
      <rPr>
        <b/>
        <sz val="9"/>
        <rFont val="Tahoma"/>
        <family val="2"/>
      </rPr>
      <t>ANÁLISIS DE MEDICIÓN</t>
    </r>
    <r>
      <rPr>
        <sz val="9"/>
        <rFont val="Tahoma"/>
        <family val="2"/>
      </rPr>
      <t xml:space="preserve"> (Cumplimiento de metas, comportamiento histórico, tendencias, causas):</t>
    </r>
  </si>
  <si>
    <r>
      <rPr>
        <b/>
        <sz val="9"/>
        <rFont val="Tahoma"/>
        <family val="2"/>
      </rPr>
      <t>ACCIONES DE MEJORAMIENTO REQUERIDAS</t>
    </r>
    <r>
      <rPr>
        <sz val="9"/>
        <rFont val="Tahoma"/>
        <family val="2"/>
      </rPr>
      <t xml:space="preserve"> (Acciones a tomar cuando se evidencie el incumplimiento de las metas propuestas):</t>
    </r>
  </si>
  <si>
    <t>Fecha</t>
  </si>
  <si>
    <t>ACEPTABLE</t>
  </si>
  <si>
    <t>DEFICIENTE</t>
  </si>
  <si>
    <t>Bimensual</t>
  </si>
  <si>
    <t>Cuatrimestral</t>
  </si>
  <si>
    <t>Semestral</t>
  </si>
  <si>
    <t>TIPO INDICADOR</t>
  </si>
  <si>
    <t>Versión 2,0</t>
  </si>
  <si>
    <t>GESTIÓN DE PROYECTOS</t>
  </si>
  <si>
    <t>GESTIÓN DE PORTAFOLIO</t>
  </si>
  <si>
    <t>GESTIÓN DE OPORTUNIDADES</t>
  </si>
  <si>
    <t>GESTIÓN DE BIENES Y SERVICIOS</t>
  </si>
  <si>
    <t>GESTIÓN JURÍDICA - CONTRATACIÓN</t>
  </si>
  <si>
    <t>TECNOLOGIAS DE LA INFORMACIÓN Y LA COMUNICACIÓN - TIC'S</t>
  </si>
  <si>
    <t>MEJORAMIENTO CONTINUO</t>
  </si>
  <si>
    <t>GESTIÓN DE RECURSOS HUMANOS</t>
  </si>
  <si>
    <t>GESTIÓN DEL CONOCIMIENTO</t>
  </si>
  <si>
    <t>GESTIÓN FINANCIERA</t>
  </si>
  <si>
    <t>CONTROL INTERNO</t>
  </si>
  <si>
    <t>DIRECCIONAMIENTO ESTRATÉGICO</t>
  </si>
  <si>
    <t xml:space="preserve">Eficiencia </t>
  </si>
  <si>
    <t>GRUPO DE GESTIÓN DE PROYECTOS</t>
  </si>
  <si>
    <t>GRUPO DE GESTIÓN DE PORTAFOLIO</t>
  </si>
  <si>
    <t>GRUPO DE GESTIÓN DE OPORTUNIDADES</t>
  </si>
  <si>
    <t>GRUPO DE GESTIÓN DE BIENES Y SERVICIOS</t>
  </si>
  <si>
    <t>GRUPO DE GESTIÓN JURÍDICA - CONTRATACIÓN</t>
  </si>
  <si>
    <t>GRUPO DE TECNOLOGIAS DE LA INFORMACIÓN Y LA COMUNICACIÓN - TIC'S</t>
  </si>
  <si>
    <t>GRUPO DE MEJORAMIENTO CONTINUO</t>
  </si>
  <si>
    <t>GRUPO DE GESTIÓN DE RECURSOS HUMANOS</t>
  </si>
  <si>
    <t>GRUPO DE GESTIÓN DE SERVICIOS PÚBLICOS</t>
  </si>
  <si>
    <t>GRUPO DE GESTIÓN DEL CONOCIMIENTO</t>
  </si>
  <si>
    <t>GRUPO DE GESTIÓN FINANCIERA</t>
  </si>
  <si>
    <t>GRUPO DE CONTROL INTERNO</t>
  </si>
  <si>
    <t>GRUPO DE DIRECCIONAMIENTO ESTRATÉGICO</t>
  </si>
  <si>
    <t>AH-SP-</t>
  </si>
  <si>
    <t>IN10</t>
  </si>
  <si>
    <t>IN11</t>
  </si>
  <si>
    <t>IN12</t>
  </si>
  <si>
    <t>IN13</t>
  </si>
  <si>
    <t>Eficiencia de Recaudo  Corriente</t>
  </si>
  <si>
    <t>Eficiencia de Recaudo Total</t>
  </si>
  <si>
    <t>Cobertura de medición</t>
  </si>
  <si>
    <t>Calidad del Agua</t>
  </si>
  <si>
    <t>Índice de agua no contabilizada</t>
  </si>
  <si>
    <t>Continuidad del Servicio (Aseo)</t>
  </si>
  <si>
    <t>Disposición en Relleno Sanitario</t>
  </si>
  <si>
    <t>(Valor  Recaudado  Corriente Usuario Final / Valor  Facturado Corriente Usuario Final) x100%</t>
  </si>
  <si>
    <t>Menor al 59%</t>
  </si>
  <si>
    <t>Entre 60% y 79%</t>
  </si>
  <si>
    <t>Entre 80% y 100%</t>
  </si>
  <si>
    <t>Entre 60% y 70%</t>
  </si>
  <si>
    <t>Entre 71% y 100%</t>
  </si>
  <si>
    <t>Días</t>
  </si>
  <si>
    <t>(Cuentas por Cobrar  a particulares y/o oficiales /  Valor Facturado Usuarios particulares y/o oficiales) x 365</t>
  </si>
  <si>
    <t xml:space="preserve">(Inversión realizada / Inversión presupuestada) x 100% </t>
  </si>
  <si>
    <t xml:space="preserve">Medición de acuerdo al IRCA          </t>
  </si>
  <si>
    <t>Mayor al 8%</t>
  </si>
  <si>
    <t>Entre el 5% y el 8%</t>
  </si>
  <si>
    <t>Menor al 5%</t>
  </si>
  <si>
    <t xml:space="preserve">(Volumen  producido - Volumen facturado /   Volumen  producido)   x 100          </t>
  </si>
  <si>
    <t>Mayor al 50%</t>
  </si>
  <si>
    <t>Entre el 30% y el 50%</t>
  </si>
  <si>
    <t>Menor al 30%</t>
  </si>
  <si>
    <t>Menor al 70%</t>
  </si>
  <si>
    <t>Entre 71% y 90%</t>
  </si>
  <si>
    <t>Entre 91% y 100%</t>
  </si>
  <si>
    <t>Mayor a 45 días</t>
  </si>
  <si>
    <t>Entre 31 y 45 días</t>
  </si>
  <si>
    <t>Menor a 31 días</t>
  </si>
  <si>
    <t>Vr. Facturado corriente usuario final</t>
  </si>
  <si>
    <t>Vr. recaudado corriente usuario final</t>
  </si>
  <si>
    <t>Vr. Total Facturado usuario final</t>
  </si>
  <si>
    <t>Vr. Total Recaudado usuario final</t>
  </si>
  <si>
    <t>Cuentas por cobrar a particulares y/o entidades oficiales</t>
  </si>
  <si>
    <t>Inversión Presupuestada</t>
  </si>
  <si>
    <t>No. de suscriptores</t>
  </si>
  <si>
    <t>No. de domicilios</t>
  </si>
  <si>
    <t>Residuos sólidos recolectados</t>
  </si>
  <si>
    <t>Residuos sólidos producidos</t>
  </si>
  <si>
    <t>No. de medidores en servicio</t>
  </si>
  <si>
    <t>Resultados medición metodológia IRCA</t>
  </si>
  <si>
    <t xml:space="preserve">Volumen producido </t>
  </si>
  <si>
    <t>Volumen facturado</t>
  </si>
  <si>
    <t>No. de días de recolección de residuos sólidos en el semestre</t>
  </si>
  <si>
    <t>Residuos sólidos en relleno sanitario</t>
  </si>
  <si>
    <t>(Residuos sólidos en relleno sanitario / Residuos sólidos producidos)     x 100    %</t>
  </si>
  <si>
    <t>Medir la eficiencia en el recaudo corriente de la prestación de los servicios pubicos domiciliarios de Aguas del Huila.</t>
  </si>
  <si>
    <t>Medir la eficiencia en el recaudo total de la prestación de los servicios pubicos domiciliarios de Aguas del Huila.</t>
  </si>
  <si>
    <t>Controlar la cartera existentes de servicios publicos por edades con el fin de evaluar la rotación de la misma.</t>
  </si>
  <si>
    <t>Realizar el seguimiento a la ejecución de la inversión establecida para la vigencia fiscal respectiva.</t>
  </si>
  <si>
    <t xml:space="preserve">Medir el grado de cobertura en   la prestación del servicio de alcantarillado administrado  por Aguas del Huila. </t>
  </si>
  <si>
    <t xml:space="preserve">Medir el grado de cobertura en   la prestación del servicio de acueducto administrado por Aguas del Huila. </t>
  </si>
  <si>
    <t xml:space="preserve">Medir el grado de cobertura en   la prestación del servicio de aseo administrado  por Aguas del Huila. </t>
  </si>
  <si>
    <t>Lograr que Aguas del Huila facture la totalidad del agua producida.</t>
  </si>
  <si>
    <t>Lograr que los suscriptores del servicio de acueducto de Aguas del Huila, tengan su instrumento medición.</t>
  </si>
  <si>
    <t>Prestar el servico de acueducto en forma continua las 24 horas.</t>
  </si>
  <si>
    <t>Recolectar los residuos solidos en los dias y rutas establecidas en el PEGIRS.</t>
  </si>
  <si>
    <t>Disponer la totalidad de los residuos solidos recolectados en el sitio de disposición final.</t>
  </si>
  <si>
    <t>IN14</t>
  </si>
  <si>
    <t>Monitorear la calidad de agua suministrada a los usuarios por parte de Aguas de Huila.</t>
  </si>
  <si>
    <t>PQR en la prestación del servicio.</t>
  </si>
  <si>
    <t>Medir el grado de satisfación de los suscriptores en la prestación del servicio.</t>
  </si>
  <si>
    <t>Entre 0 y 10%</t>
  </si>
  <si>
    <t>Entre 11% y el 20%</t>
  </si>
  <si>
    <t>Mayor al 21%</t>
  </si>
  <si>
    <t>Número de PQR recibidas</t>
  </si>
  <si>
    <t>Número de suscriptores del servicio</t>
  </si>
  <si>
    <t>Horas sin servicio mensual</t>
  </si>
  <si>
    <t>(720 - Horas sin servicio mensuales) / 720) * 100</t>
  </si>
  <si>
    <t>&lt; 5%</t>
  </si>
  <si>
    <t>GESTIÓN DE SERVICIOS PÚBLICOS - COLOMBIA</t>
  </si>
  <si>
    <t>Inversión Acumulada en el periodo</t>
  </si>
  <si>
    <t>Inversión realizada por mes</t>
  </si>
  <si>
    <t>&lt; 15%</t>
  </si>
  <si>
    <t>Cobertura   (Acueducto)</t>
  </si>
  <si>
    <t>Cobertura   (Alcantarillado)</t>
  </si>
  <si>
    <t xml:space="preserve">Cobertura   (Servicio de Aseo) </t>
  </si>
  <si>
    <t>Continuidad del servicio (Acueducto)</t>
  </si>
  <si>
    <t xml:space="preserve">Rotación de Cartera </t>
  </si>
  <si>
    <t>Ejecución de inversiones</t>
  </si>
  <si>
    <t>TABLERO DE INDICADORES BÁSICOS PARA EMPRESAS DE ACUEDUCTO, ALCANTARILLADO Y ASEO</t>
  </si>
  <si>
    <t>INFORMACIÓN REQUERIDA</t>
  </si>
  <si>
    <t>Unidad</t>
  </si>
  <si>
    <t>Domicilios</t>
  </si>
  <si>
    <t>Suscriptores de Acueducto</t>
  </si>
  <si>
    <t>Suscriptores</t>
  </si>
  <si>
    <t>Suscriptores de Alcantarillado</t>
  </si>
  <si>
    <t>Suscriptores de Aseo</t>
  </si>
  <si>
    <t>Volúmen de agua producida</t>
  </si>
  <si>
    <t>(m3/mes)</t>
  </si>
  <si>
    <t>Volúmen de agua facturada</t>
  </si>
  <si>
    <t>($/mes)</t>
  </si>
  <si>
    <t>Gastos totales</t>
  </si>
  <si>
    <t>Costos de personal</t>
  </si>
  <si>
    <t xml:space="preserve">Valor facturado Corriente servicio de Acueducto </t>
  </si>
  <si>
    <t>Valor recaudado Corriente servicio de Acueducto</t>
  </si>
  <si>
    <t>Valor facturado Corriente servicio de Alcantarillado</t>
  </si>
  <si>
    <t>Valor recaudado Corriente servicio de Alcantarillado</t>
  </si>
  <si>
    <t>Valor facturado Corriente servicio de Aseo</t>
  </si>
  <si>
    <t>Valor recaudado Corriente servicio de Aseo</t>
  </si>
  <si>
    <t>Valor facturado Deuda servicio de Acueducto</t>
  </si>
  <si>
    <t>Valor recaudado Deuda  servicio de Acueducto</t>
  </si>
  <si>
    <t>Valor facturado Deuda  servicio de Alcantarillado</t>
  </si>
  <si>
    <t>Valor recaudadoDeuda   servicio de Alcantarillado</t>
  </si>
  <si>
    <t>Valor facturado Deuda   servicio de Aseo</t>
  </si>
  <si>
    <t>Valor recaudado Deuda  servicio de Aseo</t>
  </si>
  <si>
    <t>Valor facturado Total servicio de Acueducto</t>
  </si>
  <si>
    <t>Valor recaudado Total servicio de Acueducto</t>
  </si>
  <si>
    <t>Valor facturado Total servicio de Alcantarillado</t>
  </si>
  <si>
    <t>Valor recaudado Total  servicio de Alcantarillado</t>
  </si>
  <si>
    <t>Valor facturado Total servicio de Aseo</t>
  </si>
  <si>
    <t>Valor recaudado Total  servicio de Aseo</t>
  </si>
  <si>
    <t>Gran total facturado</t>
  </si>
  <si>
    <t>Gran total recaudado</t>
  </si>
  <si>
    <t>Calidad bacteriológica</t>
  </si>
  <si>
    <t>Cumple</t>
  </si>
  <si>
    <t>Calidad fisicoquiímica</t>
  </si>
  <si>
    <t>Toneladas dispuestas Aseo</t>
  </si>
  <si>
    <t>Total Facturado Corriente</t>
  </si>
  <si>
    <t>Total Recaudado Corriente</t>
  </si>
  <si>
    <t>Total Facturado deuda</t>
  </si>
  <si>
    <t>Total Recaudado deuda</t>
  </si>
  <si>
    <t>Eficiencia Corriente Total</t>
  </si>
  <si>
    <t>Eficiencia Deuda Total</t>
  </si>
  <si>
    <t>INDICADORES</t>
  </si>
  <si>
    <t>Cobertura de Acueducto</t>
  </si>
  <si>
    <t>(%)</t>
  </si>
  <si>
    <t>Cobertura de Alcantarillado</t>
  </si>
  <si>
    <t>Cobertura de Aseo</t>
  </si>
  <si>
    <t>Calidad del agua</t>
  </si>
  <si>
    <t>Apta / No Apta</t>
  </si>
  <si>
    <t>Índice de Agua No Contabilizada</t>
  </si>
  <si>
    <t>Eficiencia  recaudo Corriente Acueducto</t>
  </si>
  <si>
    <t>Eficiencia  recaudo Corriente  Alcantarillado</t>
  </si>
  <si>
    <t>Eficiencia  recaudo Corriente Aseo</t>
  </si>
  <si>
    <t>Eficiencia  recaudo Deuda Acueducto</t>
  </si>
  <si>
    <t>Eficiencia  recaudo Deuda  Alcantarillado</t>
  </si>
  <si>
    <t>Eficiencia  recaudo Deuda Aseo</t>
  </si>
  <si>
    <t>Eficiencia recaudo Total  Acueducto</t>
  </si>
  <si>
    <t>Eficiencia recaudo Total  Alcantarillado</t>
  </si>
  <si>
    <t>Eficiencia recaudo Total Aseo</t>
  </si>
  <si>
    <t xml:space="preserve">Eficiencia recaudo Total  </t>
  </si>
  <si>
    <t>Eficiencia laboral Acueducto y Alcantarillado</t>
  </si>
  <si>
    <t>($/m3)</t>
  </si>
  <si>
    <t>Utilidad neta</t>
  </si>
  <si>
    <t>INDICADORES DE COBERTURA</t>
  </si>
  <si>
    <t>COBERTURAS DE SERVICIO</t>
  </si>
  <si>
    <t>Vr. Facturado usuarios particulares y/o entidades oficiales - Mes</t>
  </si>
  <si>
    <t>Vr. Facturado usuarios particulares y/o entidades oficiales - Acumulado</t>
  </si>
  <si>
    <t>AGUAS DEL HUILA S.A. E.S.P.</t>
  </si>
  <si>
    <t>EMPRESA:</t>
  </si>
  <si>
    <t>(Valor  Recaudado  Total Usuario Final / Valor  total Facturado usuario Final) x100%</t>
  </si>
  <si>
    <t xml:space="preserve">(Número de Suscriptores servicio acueducto / Número de Domicilios) x 100% </t>
  </si>
  <si>
    <t xml:space="preserve">(Número de Suscriptores servicio alcantarillado / Número de Domicilios) x 100%  </t>
  </si>
  <si>
    <t xml:space="preserve">(Residuos sólidos recolectada / Residuos sólidos producidos) x 100%           </t>
  </si>
  <si>
    <t xml:space="preserve">(Número de Medidores en servicio / Número de Suscriptores) x 100%          </t>
  </si>
  <si>
    <t>Número de dias de recolección de residuos sólidos por semestre / 144</t>
  </si>
  <si>
    <t>Número de PQR recibidas / número de suscriptores del servicio*100</t>
  </si>
  <si>
    <t>No. de suscriptores servicio acueducto</t>
  </si>
  <si>
    <t>No. de suscriptores servicio alcantarillado</t>
  </si>
  <si>
    <t>No de horas sin servicio</t>
  </si>
  <si>
    <t>No. de PQR recibidas</t>
  </si>
  <si>
    <t>*</t>
  </si>
  <si>
    <t>RESULTADOS DE LA VIGENCIA</t>
  </si>
  <si>
    <t>Volúmen de vertimiento de alcantarillado facturado</t>
  </si>
  <si>
    <t>GESTIÓN DE SERVICIOS PÚBLICOS - NATAGA</t>
  </si>
  <si>
    <t>GESTIÓN DE SERVICIOS PÚBLICOS - PAICOL</t>
  </si>
  <si>
    <t>GESTIÓN DE SERVICIOS PÚBLICOS - TARQUÍ</t>
  </si>
  <si>
    <t>GESTIÓN DE SERVICIOS PÚBLICOS - SANTA MARÍA</t>
  </si>
  <si>
    <t>MUNICIPIO : NATAGA</t>
  </si>
  <si>
    <t>META 2018</t>
  </si>
  <si>
    <t>RESULTADOS VIGENCIA 2018</t>
  </si>
  <si>
    <t>META  AÑO 2018</t>
  </si>
  <si>
    <t>VIGENCIA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</si>
</sst>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0.0%"/>
    <numFmt numFmtId="165" formatCode="0.0"/>
    <numFmt numFmtId="166" formatCode="#,##0.0"/>
    <numFmt numFmtId="167" formatCode="_-* #,##0_-;\-* #,##0_-;_-* &quot;-&quot;??_-;_-@_-"/>
    <numFmt numFmtId="168" formatCode="_ * #,##0.00_ ;_ * \-#,##0.00_ ;_ * &quot;-&quot;??_ ;_ @_ "/>
    <numFmt numFmtId="169" formatCode="#,##0.000"/>
    <numFmt numFmtId="170" formatCode="_(* #,##0_);_(* \(#,##0\);_(* &quot;-&quot;??_);_(@_)"/>
  </numFmts>
  <fonts count="3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6"/>
      <color theme="1"/>
      <name val="Arial"/>
      <family val="2"/>
    </font>
    <font>
      <sz val="10"/>
      <name val="Tahoma"/>
      <family val="2"/>
    </font>
    <font>
      <sz val="8"/>
      <name val="Tahoma"/>
      <family val="2"/>
    </font>
    <font>
      <b/>
      <sz val="10"/>
      <name val="Tahoma"/>
      <family val="2"/>
    </font>
    <font>
      <b/>
      <sz val="10"/>
      <color rgb="FFFF0000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b/>
      <sz val="8"/>
      <name val="Tahoma"/>
      <family val="2"/>
    </font>
    <font>
      <b/>
      <sz val="10"/>
      <color theme="1"/>
      <name val="Calibri"/>
      <family val="2"/>
      <scheme val="minor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0"/>
      <color theme="1"/>
      <name val="Arial"/>
      <family val="2"/>
    </font>
    <font>
      <b/>
      <sz val="6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name val="Tahoma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</cellStyleXfs>
  <cellXfs count="301">
    <xf numFmtId="0" fontId="0" fillId="0" borderId="0" xfId="0"/>
    <xf numFmtId="0" fontId="5" fillId="0" borderId="0" xfId="0" applyFont="1"/>
    <xf numFmtId="0" fontId="0" fillId="0" borderId="0" xfId="0"/>
    <xf numFmtId="0" fontId="8" fillId="0" borderId="0" xfId="1" applyFont="1" applyAlignment="1">
      <alignment vertical="center"/>
    </xf>
    <xf numFmtId="0" fontId="8" fillId="0" borderId="1" xfId="1" applyFont="1" applyBorder="1" applyAlignment="1">
      <alignment vertical="center"/>
    </xf>
    <xf numFmtId="0" fontId="8" fillId="0" borderId="12" xfId="1" applyFont="1" applyBorder="1" applyAlignment="1">
      <alignment vertical="center"/>
    </xf>
    <xf numFmtId="0" fontId="10" fillId="2" borderId="15" xfId="1" applyFont="1" applyFill="1" applyBorder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8" fillId="0" borderId="0" xfId="1" applyFont="1" applyAlignment="1">
      <alignment horizontal="right" vertical="center"/>
    </xf>
    <xf numFmtId="9" fontId="8" fillId="0" borderId="0" xfId="1" applyNumberFormat="1" applyFont="1" applyAlignment="1">
      <alignment horizontal="center" vertical="center"/>
    </xf>
    <xf numFmtId="9" fontId="10" fillId="0" borderId="1" xfId="1" applyNumberFormat="1" applyFont="1" applyFill="1" applyBorder="1" applyAlignment="1">
      <alignment vertical="center"/>
    </xf>
    <xf numFmtId="164" fontId="8" fillId="7" borderId="1" xfId="1" applyNumberFormat="1" applyFont="1" applyFill="1" applyBorder="1" applyAlignment="1">
      <alignment horizontal="right" vertical="center"/>
    </xf>
    <xf numFmtId="164" fontId="8" fillId="7" borderId="15" xfId="1" applyNumberFormat="1" applyFont="1" applyFill="1" applyBorder="1" applyAlignment="1">
      <alignment horizontal="right" vertical="center"/>
    </xf>
    <xf numFmtId="9" fontId="9" fillId="7" borderId="12" xfId="1" applyNumberFormat="1" applyFont="1" applyFill="1" applyBorder="1" applyAlignment="1">
      <alignment horizontal="center" vertical="center" wrapText="1"/>
    </xf>
    <xf numFmtId="0" fontId="9" fillId="7" borderId="12" xfId="1" applyFont="1" applyFill="1" applyBorder="1" applyAlignment="1">
      <alignment horizontal="center" vertical="center" wrapText="1"/>
    </xf>
    <xf numFmtId="0" fontId="9" fillId="7" borderId="12" xfId="1" applyFont="1" applyFill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center" wrapText="1"/>
    </xf>
    <xf numFmtId="165" fontId="8" fillId="0" borderId="22" xfId="1" applyNumberFormat="1" applyFont="1" applyBorder="1" applyAlignment="1">
      <alignment vertical="center"/>
    </xf>
    <xf numFmtId="0" fontId="8" fillId="7" borderId="15" xfId="1" applyFont="1" applyFill="1" applyBorder="1" applyAlignment="1">
      <alignment vertical="center"/>
    </xf>
    <xf numFmtId="0" fontId="8" fillId="7" borderId="13" xfId="1" applyFont="1" applyFill="1" applyBorder="1" applyAlignment="1">
      <alignment vertical="center"/>
    </xf>
    <xf numFmtId="165" fontId="8" fillId="7" borderId="29" xfId="1" applyNumberFormat="1" applyFont="1" applyFill="1" applyBorder="1" applyAlignment="1">
      <alignment vertical="center"/>
    </xf>
    <xf numFmtId="164" fontId="9" fillId="7" borderId="12" xfId="1" applyNumberFormat="1" applyFont="1" applyFill="1" applyBorder="1" applyAlignment="1">
      <alignment horizontal="center" vertical="center" wrapText="1"/>
    </xf>
    <xf numFmtId="3" fontId="8" fillId="0" borderId="1" xfId="1" applyNumberFormat="1" applyFont="1" applyBorder="1" applyAlignment="1">
      <alignment vertical="center"/>
    </xf>
    <xf numFmtId="3" fontId="8" fillId="7" borderId="15" xfId="1" applyNumberFormat="1" applyFont="1" applyFill="1" applyBorder="1" applyAlignment="1">
      <alignment vertical="center"/>
    </xf>
    <xf numFmtId="164" fontId="14" fillId="0" borderId="1" xfId="1" applyNumberFormat="1" applyFont="1" applyFill="1" applyBorder="1" applyAlignment="1">
      <alignment vertical="center"/>
    </xf>
    <xf numFmtId="0" fontId="14" fillId="7" borderId="30" xfId="1" applyFont="1" applyFill="1" applyBorder="1" applyAlignment="1">
      <alignment horizontal="right" vertical="center"/>
    </xf>
    <xf numFmtId="0" fontId="8" fillId="0" borderId="0" xfId="1" applyFont="1" applyAlignment="1">
      <alignment horizontal="center" vertical="center"/>
    </xf>
    <xf numFmtId="0" fontId="9" fillId="7" borderId="12" xfId="1" applyFont="1" applyFill="1" applyBorder="1" applyAlignment="1">
      <alignment horizontal="center" vertical="center" wrapText="1"/>
    </xf>
    <xf numFmtId="0" fontId="2" fillId="0" borderId="36" xfId="1" applyFont="1" applyBorder="1" applyAlignment="1">
      <alignment horizontal="center" vertical="center" textRotation="90" wrapText="1"/>
    </xf>
    <xf numFmtId="164" fontId="15" fillId="0" borderId="36" xfId="0" applyNumberFormat="1" applyFont="1" applyBorder="1" applyAlignment="1">
      <alignment horizontal="center" vertical="center" textRotation="90" wrapText="1"/>
    </xf>
    <xf numFmtId="0" fontId="15" fillId="8" borderId="36" xfId="0" applyFont="1" applyFill="1" applyBorder="1" applyAlignment="1">
      <alignment horizontal="center" vertical="center" textRotation="90" wrapText="1"/>
    </xf>
    <xf numFmtId="0" fontId="19" fillId="5" borderId="36" xfId="0" applyFont="1" applyFill="1" applyBorder="1" applyAlignment="1">
      <alignment horizontal="center" vertical="center" wrapText="1"/>
    </xf>
    <xf numFmtId="0" fontId="19" fillId="4" borderId="36" xfId="0" applyFont="1" applyFill="1" applyBorder="1" applyAlignment="1">
      <alignment horizontal="center" vertical="center" wrapText="1"/>
    </xf>
    <xf numFmtId="0" fontId="19" fillId="3" borderId="36" xfId="0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9" fillId="7" borderId="12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166" fontId="9" fillId="7" borderId="12" xfId="1" applyNumberFormat="1" applyFont="1" applyFill="1" applyBorder="1" applyAlignment="1">
      <alignment horizontal="center" vertical="center" wrapText="1"/>
    </xf>
    <xf numFmtId="0" fontId="9" fillId="0" borderId="1" xfId="1" applyFont="1" applyBorder="1" applyAlignment="1">
      <alignment horizontal="justify" vertical="center" wrapText="1"/>
    </xf>
    <xf numFmtId="0" fontId="9" fillId="0" borderId="12" xfId="1" applyFont="1" applyBorder="1" applyAlignment="1">
      <alignment horizontal="justify" vertical="center" wrapText="1"/>
    </xf>
    <xf numFmtId="0" fontId="2" fillId="0" borderId="36" xfId="1" applyFont="1" applyBorder="1" applyAlignment="1">
      <alignment horizontal="justify" vertical="top" wrapText="1"/>
    </xf>
    <xf numFmtId="0" fontId="17" fillId="0" borderId="36" xfId="0" applyFont="1" applyBorder="1" applyAlignment="1">
      <alignment horizontal="justify" vertical="top" wrapText="1"/>
    </xf>
    <xf numFmtId="164" fontId="10" fillId="0" borderId="1" xfId="1" applyNumberFormat="1" applyFont="1" applyFill="1" applyBorder="1" applyAlignment="1">
      <alignment vertical="center"/>
    </xf>
    <xf numFmtId="49" fontId="5" fillId="0" borderId="36" xfId="0" applyNumberFormat="1" applyFont="1" applyFill="1" applyBorder="1" applyAlignment="1">
      <alignment horizontal="center" vertical="top"/>
    </xf>
    <xf numFmtId="0" fontId="16" fillId="0" borderId="36" xfId="0" applyFont="1" applyFill="1" applyBorder="1" applyAlignment="1">
      <alignment vertical="top" wrapText="1"/>
    </xf>
    <xf numFmtId="0" fontId="16" fillId="0" borderId="37" xfId="0" applyFont="1" applyFill="1" applyBorder="1" applyAlignment="1">
      <alignment horizontal="left" vertical="top" wrapText="1"/>
    </xf>
    <xf numFmtId="0" fontId="20" fillId="0" borderId="0" xfId="0" applyFont="1"/>
    <xf numFmtId="0" fontId="24" fillId="0" borderId="0" xfId="0" applyFont="1"/>
    <xf numFmtId="0" fontId="2" fillId="0" borderId="36" xfId="0" applyFont="1" applyFill="1" applyBorder="1" applyAlignment="1">
      <alignment horizontal="center" vertical="center" textRotation="90" wrapText="1"/>
    </xf>
    <xf numFmtId="9" fontId="3" fillId="0" borderId="36" xfId="1" applyNumberFormat="1" applyFont="1" applyFill="1" applyBorder="1" applyAlignment="1">
      <alignment horizontal="center" vertical="center" wrapText="1"/>
    </xf>
    <xf numFmtId="3" fontId="10" fillId="0" borderId="1" xfId="1" applyNumberFormat="1" applyFont="1" applyFill="1" applyBorder="1" applyAlignment="1">
      <alignment vertical="center"/>
    </xf>
    <xf numFmtId="166" fontId="15" fillId="0" borderId="36" xfId="0" applyNumberFormat="1" applyFont="1" applyBorder="1" applyAlignment="1">
      <alignment horizontal="center" vertical="center" textRotation="90" wrapText="1"/>
    </xf>
    <xf numFmtId="3" fontId="8" fillId="7" borderId="1" xfId="1" applyNumberFormat="1" applyFont="1" applyFill="1" applyBorder="1" applyAlignment="1">
      <alignment horizontal="right" vertical="center"/>
    </xf>
    <xf numFmtId="3" fontId="8" fillId="7" borderId="15" xfId="1" applyNumberFormat="1" applyFont="1" applyFill="1" applyBorder="1" applyAlignment="1">
      <alignment horizontal="right" vertical="center"/>
    </xf>
    <xf numFmtId="9" fontId="0" fillId="0" borderId="0" xfId="2" applyFont="1"/>
    <xf numFmtId="3" fontId="9" fillId="0" borderId="1" xfId="3" applyNumberFormat="1" applyFont="1" applyBorder="1" applyAlignment="1">
      <alignment vertical="center"/>
    </xf>
    <xf numFmtId="1" fontId="9" fillId="7" borderId="12" xfId="1" applyNumberFormat="1" applyFont="1" applyFill="1" applyBorder="1" applyAlignment="1">
      <alignment horizontal="center" vertical="center" wrapText="1"/>
    </xf>
    <xf numFmtId="9" fontId="8" fillId="0" borderId="1" xfId="1" applyNumberFormat="1" applyFont="1" applyBorder="1" applyAlignment="1">
      <alignment vertical="center"/>
    </xf>
    <xf numFmtId="10" fontId="8" fillId="0" borderId="1" xfId="1" applyNumberFormat="1" applyFont="1" applyBorder="1" applyAlignment="1">
      <alignment vertical="center"/>
    </xf>
    <xf numFmtId="10" fontId="8" fillId="7" borderId="15" xfId="1" applyNumberFormat="1" applyFont="1" applyFill="1" applyBorder="1" applyAlignment="1">
      <alignment vertical="center"/>
    </xf>
    <xf numFmtId="9" fontId="10" fillId="0" borderId="1" xfId="1" applyNumberFormat="1" applyFont="1" applyFill="1" applyBorder="1" applyAlignment="1">
      <alignment horizontal="right" vertical="center"/>
    </xf>
    <xf numFmtId="3" fontId="9" fillId="0" borderId="1" xfId="1" applyNumberFormat="1" applyFont="1" applyBorder="1" applyAlignment="1">
      <alignment vertical="center"/>
    </xf>
    <xf numFmtId="3" fontId="9" fillId="7" borderId="15" xfId="3" applyNumberFormat="1" applyFont="1" applyFill="1" applyBorder="1" applyAlignment="1">
      <alignment vertical="center"/>
    </xf>
    <xf numFmtId="3" fontId="9" fillId="7" borderId="15" xfId="1" applyNumberFormat="1" applyFont="1" applyFill="1" applyBorder="1" applyAlignment="1">
      <alignment vertical="center"/>
    </xf>
    <xf numFmtId="4" fontId="8" fillId="7" borderId="15" xfId="1" applyNumberFormat="1" applyFont="1" applyFill="1" applyBorder="1" applyAlignment="1">
      <alignment vertical="center"/>
    </xf>
    <xf numFmtId="0" fontId="1" fillId="0" borderId="0" xfId="1"/>
    <xf numFmtId="0" fontId="1" fillId="0" borderId="0" xfId="1" applyFill="1"/>
    <xf numFmtId="167" fontId="1" fillId="0" borderId="0" xfId="1" applyNumberFormat="1"/>
    <xf numFmtId="164" fontId="15" fillId="0" borderId="36" xfId="0" applyNumberFormat="1" applyFont="1" applyFill="1" applyBorder="1" applyAlignment="1">
      <alignment horizontal="center" vertical="center" textRotation="90" wrapText="1"/>
    </xf>
    <xf numFmtId="166" fontId="15" fillId="0" borderId="36" xfId="0" applyNumberFormat="1" applyFont="1" applyFill="1" applyBorder="1" applyAlignment="1">
      <alignment horizontal="center" vertical="center" textRotation="90" wrapText="1"/>
    </xf>
    <xf numFmtId="0" fontId="9" fillId="0" borderId="22" xfId="1" applyFont="1" applyBorder="1" applyAlignment="1">
      <alignment horizontal="justify" vertical="top" wrapText="1"/>
    </xf>
    <xf numFmtId="164" fontId="8" fillId="7" borderId="1" xfId="1" applyNumberFormat="1" applyFont="1" applyFill="1" applyBorder="1" applyAlignment="1">
      <alignment horizontal="center" vertical="center"/>
    </xf>
    <xf numFmtId="164" fontId="8" fillId="7" borderId="15" xfId="1" applyNumberFormat="1" applyFont="1" applyFill="1" applyBorder="1" applyAlignment="1">
      <alignment horizontal="center" vertical="center"/>
    </xf>
    <xf numFmtId="165" fontId="8" fillId="0" borderId="22" xfId="1" applyNumberFormat="1" applyFont="1" applyBorder="1" applyAlignment="1">
      <alignment horizontal="center" vertical="center"/>
    </xf>
    <xf numFmtId="4" fontId="8" fillId="0" borderId="1" xfId="1" applyNumberFormat="1" applyFont="1" applyBorder="1" applyAlignment="1">
      <alignment vertical="center"/>
    </xf>
    <xf numFmtId="0" fontId="1" fillId="0" borderId="0" xfId="1" applyBorder="1"/>
    <xf numFmtId="2" fontId="8" fillId="0" borderId="1" xfId="1" applyNumberFormat="1" applyFont="1" applyBorder="1" applyAlignment="1">
      <alignment horizontal="center" vertical="center"/>
    </xf>
    <xf numFmtId="2" fontId="8" fillId="7" borderId="15" xfId="1" applyNumberFormat="1" applyFont="1" applyFill="1" applyBorder="1" applyAlignment="1">
      <alignment vertical="center"/>
    </xf>
    <xf numFmtId="167" fontId="1" fillId="0" borderId="0" xfId="1" applyNumberFormat="1" applyFill="1"/>
    <xf numFmtId="0" fontId="3" fillId="0" borderId="0" xfId="1" applyFont="1" applyBorder="1" applyAlignment="1" applyProtection="1">
      <protection locked="0"/>
    </xf>
    <xf numFmtId="0" fontId="2" fillId="0" borderId="1" xfId="1" quotePrefix="1" applyFont="1" applyBorder="1" applyAlignment="1">
      <alignment horizontal="right"/>
    </xf>
    <xf numFmtId="0" fontId="2" fillId="11" borderId="1" xfId="1" quotePrefix="1" applyFont="1" applyFill="1" applyBorder="1" applyAlignment="1">
      <alignment horizontal="right"/>
    </xf>
    <xf numFmtId="0" fontId="2" fillId="0" borderId="0" xfId="1" quotePrefix="1" applyFont="1" applyBorder="1" applyAlignment="1">
      <alignment horizontal="right"/>
    </xf>
    <xf numFmtId="0" fontId="2" fillId="0" borderId="0" xfId="1" applyFont="1" applyFill="1" applyBorder="1"/>
    <xf numFmtId="0" fontId="2" fillId="0" borderId="0" xfId="1" applyFont="1" applyFill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3" fillId="10" borderId="45" xfId="1" applyFont="1" applyFill="1" applyBorder="1" applyAlignment="1"/>
    <xf numFmtId="0" fontId="2" fillId="0" borderId="1" xfId="1" quotePrefix="1" applyFont="1" applyFill="1" applyBorder="1" applyAlignment="1">
      <alignment horizontal="right"/>
    </xf>
    <xf numFmtId="0" fontId="2" fillId="0" borderId="0" xfId="1" applyFont="1"/>
    <xf numFmtId="167" fontId="2" fillId="0" borderId="0" xfId="1" applyNumberFormat="1" applyFont="1"/>
    <xf numFmtId="0" fontId="1" fillId="0" borderId="0" xfId="1" applyFont="1" applyFill="1" applyBorder="1" applyAlignment="1">
      <alignment horizontal="center"/>
    </xf>
    <xf numFmtId="0" fontId="1" fillId="0" borderId="0" xfId="1" applyFont="1"/>
    <xf numFmtId="167" fontId="1" fillId="0" borderId="0" xfId="1" applyNumberFormat="1" applyFont="1"/>
    <xf numFmtId="0" fontId="1" fillId="0" borderId="0" xfId="1" applyFont="1" applyBorder="1" applyAlignment="1" applyProtection="1">
      <protection locked="0"/>
    </xf>
    <xf numFmtId="43" fontId="1" fillId="0" borderId="0" xfId="1" applyNumberFormat="1" applyFont="1" applyFill="1" applyBorder="1" applyAlignment="1">
      <alignment horizontal="center"/>
    </xf>
    <xf numFmtId="0" fontId="1" fillId="0" borderId="0" xfId="1" applyFont="1" applyFill="1"/>
    <xf numFmtId="164" fontId="30" fillId="0" borderId="0" xfId="6" applyNumberFormat="1" applyFont="1" applyBorder="1" applyAlignment="1" applyProtection="1">
      <alignment horizontal="center"/>
      <protection locked="0"/>
    </xf>
    <xf numFmtId="167" fontId="1" fillId="0" borderId="0" xfId="1" applyNumberFormat="1" applyFont="1" applyBorder="1" applyAlignment="1" applyProtection="1">
      <alignment horizontal="center"/>
      <protection locked="0"/>
    </xf>
    <xf numFmtId="0" fontId="3" fillId="10" borderId="1" xfId="1" applyFont="1" applyFill="1" applyBorder="1" applyAlignment="1">
      <alignment horizontal="center" vertical="center"/>
    </xf>
    <xf numFmtId="17" fontId="29" fillId="10" borderId="1" xfId="1" applyNumberFormat="1" applyFont="1" applyFill="1" applyBorder="1" applyAlignment="1">
      <alignment horizontal="center" vertical="center"/>
    </xf>
    <xf numFmtId="0" fontId="2" fillId="0" borderId="1" xfId="1" quotePrefix="1" applyFont="1" applyBorder="1" applyAlignment="1">
      <alignment horizontal="right" vertical="center"/>
    </xf>
    <xf numFmtId="0" fontId="2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167" fontId="1" fillId="0" borderId="1" xfId="4" applyNumberFormat="1" applyFont="1" applyBorder="1" applyAlignment="1" applyProtection="1">
      <alignment vertical="center"/>
      <protection locked="0"/>
    </xf>
    <xf numFmtId="0" fontId="20" fillId="0" borderId="1" xfId="0" applyFont="1" applyBorder="1" applyAlignment="1">
      <alignment vertical="center" wrapText="1"/>
    </xf>
    <xf numFmtId="0" fontId="2" fillId="11" borderId="1" xfId="1" quotePrefix="1" applyFont="1" applyFill="1" applyBorder="1" applyAlignment="1">
      <alignment horizontal="right" vertical="center"/>
    </xf>
    <xf numFmtId="0" fontId="2" fillId="11" borderId="1" xfId="1" applyFont="1" applyFill="1" applyBorder="1" applyAlignment="1">
      <alignment vertical="center"/>
    </xf>
    <xf numFmtId="0" fontId="2" fillId="11" borderId="1" xfId="1" applyFont="1" applyFill="1" applyBorder="1" applyAlignment="1">
      <alignment horizontal="center" vertical="center"/>
    </xf>
    <xf numFmtId="167" fontId="1" fillId="11" borderId="1" xfId="4" applyNumberFormat="1" applyFont="1" applyFill="1" applyBorder="1" applyAlignment="1" applyProtection="1">
      <alignment vertical="center"/>
      <protection locked="0"/>
    </xf>
    <xf numFmtId="0" fontId="20" fillId="14" borderId="1" xfId="0" applyFont="1" applyFill="1" applyBorder="1" applyAlignment="1">
      <alignment vertical="center" wrapText="1"/>
    </xf>
    <xf numFmtId="167" fontId="1" fillId="0" borderId="1" xfId="4" applyNumberFormat="1" applyFont="1" applyFill="1" applyBorder="1" applyAlignment="1" applyProtection="1">
      <alignment vertical="center"/>
      <protection locked="0"/>
    </xf>
    <xf numFmtId="167" fontId="30" fillId="0" borderId="1" xfId="0" applyNumberFormat="1" applyFont="1" applyBorder="1" applyAlignment="1" applyProtection="1">
      <alignment vertical="center"/>
      <protection locked="0"/>
    </xf>
    <xf numFmtId="167" fontId="1" fillId="0" borderId="1" xfId="1" applyNumberFormat="1" applyFont="1" applyBorder="1" applyAlignment="1" applyProtection="1">
      <alignment vertical="center"/>
      <protection locked="0"/>
    </xf>
    <xf numFmtId="167" fontId="30" fillId="11" borderId="1" xfId="0" applyNumberFormat="1" applyFont="1" applyFill="1" applyBorder="1" applyAlignment="1" applyProtection="1">
      <alignment vertical="center"/>
      <protection locked="0"/>
    </xf>
    <xf numFmtId="167" fontId="1" fillId="11" borderId="1" xfId="1" applyNumberFormat="1" applyFont="1" applyFill="1" applyBorder="1" applyAlignment="1" applyProtection="1">
      <alignment vertical="center"/>
      <protection locked="0"/>
    </xf>
    <xf numFmtId="167" fontId="1" fillId="13" borderId="1" xfId="4" applyNumberFormat="1" applyFont="1" applyFill="1" applyBorder="1" applyAlignment="1" applyProtection="1">
      <alignment vertical="center"/>
      <protection locked="0"/>
    </xf>
    <xf numFmtId="0" fontId="1" fillId="11" borderId="1" xfId="1" applyFont="1" applyFill="1" applyBorder="1" applyAlignment="1">
      <alignment horizontal="center" vertical="center"/>
    </xf>
    <xf numFmtId="0" fontId="1" fillId="0" borderId="22" xfId="1" applyFont="1" applyBorder="1" applyAlignment="1">
      <alignment horizontal="center" vertical="center"/>
    </xf>
    <xf numFmtId="0" fontId="2" fillId="0" borderId="1" xfId="1" applyFont="1" applyFill="1" applyBorder="1" applyAlignment="1">
      <alignment vertical="center"/>
    </xf>
    <xf numFmtId="0" fontId="2" fillId="0" borderId="1" xfId="1" applyFont="1" applyFill="1" applyBorder="1" applyAlignment="1">
      <alignment horizontal="center" vertical="center"/>
    </xf>
    <xf numFmtId="167" fontId="1" fillId="13" borderId="50" xfId="1" applyNumberFormat="1" applyFont="1" applyFill="1" applyBorder="1" applyAlignment="1">
      <alignment horizontal="center" vertical="center"/>
    </xf>
    <xf numFmtId="0" fontId="1" fillId="0" borderId="1" xfId="1" applyFont="1" applyBorder="1" applyAlignment="1">
      <alignment horizontal="center" vertical="center"/>
    </xf>
    <xf numFmtId="17" fontId="1" fillId="12" borderId="1" xfId="1" applyNumberFormat="1" applyFont="1" applyFill="1" applyBorder="1" applyAlignment="1">
      <alignment horizontal="center" vertical="center"/>
    </xf>
    <xf numFmtId="167" fontId="1" fillId="13" borderId="1" xfId="1" applyNumberFormat="1" applyFont="1" applyFill="1" applyBorder="1" applyAlignment="1" applyProtection="1">
      <alignment horizontal="center" vertical="center"/>
      <protection locked="0"/>
    </xf>
    <xf numFmtId="164" fontId="30" fillId="13" borderId="1" xfId="6" applyNumberFormat="1" applyFont="1" applyFill="1" applyBorder="1" applyAlignment="1" applyProtection="1">
      <alignment horizontal="center" vertical="center"/>
      <protection locked="0"/>
    </xf>
    <xf numFmtId="0" fontId="2" fillId="11" borderId="50" xfId="1" applyFont="1" applyFill="1" applyBorder="1" applyAlignment="1">
      <alignment vertical="center"/>
    </xf>
    <xf numFmtId="0" fontId="2" fillId="11" borderId="50" xfId="1" applyFont="1" applyFill="1" applyBorder="1" applyAlignment="1">
      <alignment horizontal="center" vertical="center"/>
    </xf>
    <xf numFmtId="0" fontId="3" fillId="10" borderId="49" xfId="1" applyFont="1" applyFill="1" applyBorder="1" applyAlignment="1">
      <alignment vertical="center"/>
    </xf>
    <xf numFmtId="9" fontId="1" fillId="13" borderId="1" xfId="6" applyNumberFormat="1" applyFont="1" applyFill="1" applyBorder="1" applyAlignment="1">
      <alignment horizontal="center" vertical="center"/>
    </xf>
    <xf numFmtId="10" fontId="1" fillId="13" borderId="1" xfId="6" applyNumberFormat="1" applyFont="1" applyFill="1" applyBorder="1" applyAlignment="1">
      <alignment horizontal="center" vertical="center"/>
    </xf>
    <xf numFmtId="9" fontId="1" fillId="13" borderId="1" xfId="6" applyFont="1" applyFill="1" applyBorder="1" applyAlignment="1">
      <alignment horizontal="center" vertical="center"/>
    </xf>
    <xf numFmtId="169" fontId="1" fillId="13" borderId="1" xfId="1" applyNumberFormat="1" applyFont="1" applyFill="1" applyBorder="1" applyAlignment="1">
      <alignment horizontal="center" vertical="center"/>
    </xf>
    <xf numFmtId="167" fontId="1" fillId="13" borderId="1" xfId="4" applyNumberFormat="1" applyFont="1" applyFill="1" applyBorder="1" applyAlignment="1">
      <alignment horizontal="center" vertical="center"/>
    </xf>
    <xf numFmtId="0" fontId="9" fillId="0" borderId="1" xfId="1" applyFont="1" applyBorder="1" applyAlignment="1">
      <alignment horizontal="justify" vertical="top" wrapText="1"/>
    </xf>
    <xf numFmtId="0" fontId="10" fillId="2" borderId="1" xfId="1" applyFont="1" applyFill="1" applyBorder="1" applyAlignment="1">
      <alignment horizontal="center" vertical="center"/>
    </xf>
    <xf numFmtId="0" fontId="9" fillId="0" borderId="12" xfId="1" applyFont="1" applyBorder="1" applyAlignment="1">
      <alignment horizontal="justify" vertical="top" wrapText="1"/>
    </xf>
    <xf numFmtId="9" fontId="8" fillId="0" borderId="1" xfId="1" applyNumberFormat="1" applyFont="1" applyFill="1" applyBorder="1" applyAlignment="1">
      <alignment vertical="center"/>
    </xf>
    <xf numFmtId="164" fontId="10" fillId="7" borderId="15" xfId="1" applyNumberFormat="1" applyFont="1" applyFill="1" applyBorder="1" applyAlignment="1">
      <alignment vertical="center"/>
    </xf>
    <xf numFmtId="164" fontId="8" fillId="0" borderId="1" xfId="1" applyNumberFormat="1" applyFont="1" applyFill="1" applyBorder="1" applyAlignment="1">
      <alignment vertical="center"/>
    </xf>
    <xf numFmtId="3" fontId="8" fillId="0" borderId="12" xfId="1" applyNumberFormat="1" applyFont="1" applyBorder="1" applyAlignment="1">
      <alignment vertical="center"/>
    </xf>
    <xf numFmtId="3" fontId="8" fillId="7" borderId="13" xfId="1" applyNumberFormat="1" applyFont="1" applyFill="1" applyBorder="1" applyAlignment="1">
      <alignment vertical="center"/>
    </xf>
    <xf numFmtId="3" fontId="8" fillId="0" borderId="1" xfId="1" applyNumberFormat="1" applyFont="1" applyFill="1" applyBorder="1" applyAlignment="1">
      <alignment vertical="center"/>
    </xf>
    <xf numFmtId="3" fontId="10" fillId="7" borderId="15" xfId="1" applyNumberFormat="1" applyFont="1" applyFill="1" applyBorder="1" applyAlignment="1">
      <alignment vertical="center"/>
    </xf>
    <xf numFmtId="164" fontId="14" fillId="7" borderId="15" xfId="1" applyNumberFormat="1" applyFont="1" applyFill="1" applyBorder="1" applyAlignment="1">
      <alignment vertical="center"/>
    </xf>
    <xf numFmtId="9" fontId="10" fillId="7" borderId="15" xfId="1" applyNumberFormat="1" applyFont="1" applyFill="1" applyBorder="1" applyAlignment="1">
      <alignment vertical="center"/>
    </xf>
    <xf numFmtId="9" fontId="10" fillId="7" borderId="15" xfId="1" applyNumberFormat="1" applyFont="1" applyFill="1" applyBorder="1" applyAlignment="1">
      <alignment horizontal="center" vertical="center"/>
    </xf>
    <xf numFmtId="167" fontId="20" fillId="0" borderId="1" xfId="0" applyNumberFormat="1" applyFont="1" applyBorder="1" applyAlignment="1" applyProtection="1">
      <alignment vertical="center"/>
      <protection locked="0"/>
    </xf>
    <xf numFmtId="0" fontId="20" fillId="0" borderId="1" xfId="0" applyFont="1" applyBorder="1" applyAlignment="1" applyProtection="1">
      <alignment vertical="center" wrapText="1"/>
      <protection locked="0"/>
    </xf>
    <xf numFmtId="0" fontId="20" fillId="14" borderId="1" xfId="0" applyFont="1" applyFill="1" applyBorder="1" applyAlignment="1" applyProtection="1">
      <alignment vertical="center" wrapText="1"/>
      <protection locked="0"/>
    </xf>
    <xf numFmtId="167" fontId="1" fillId="15" borderId="1" xfId="4" applyNumberFormat="1" applyFont="1" applyFill="1" applyBorder="1" applyAlignment="1" applyProtection="1">
      <alignment vertical="center"/>
      <protection locked="0"/>
    </xf>
    <xf numFmtId="170" fontId="1" fillId="0" borderId="1" xfId="3" applyNumberFormat="1" applyFont="1" applyFill="1" applyBorder="1" applyAlignment="1">
      <alignment vertical="center"/>
    </xf>
    <xf numFmtId="3" fontId="1" fillId="0" borderId="1" xfId="1" applyNumberFormat="1" applyFont="1" applyFill="1" applyBorder="1" applyAlignment="1">
      <alignment vertical="center"/>
    </xf>
    <xf numFmtId="167" fontId="1" fillId="0" borderId="1" xfId="3" applyNumberFormat="1" applyFont="1" applyFill="1" applyBorder="1" applyAlignment="1">
      <alignment vertical="center"/>
    </xf>
    <xf numFmtId="0" fontId="0" fillId="9" borderId="38" xfId="0" applyFill="1" applyBorder="1" applyAlignment="1">
      <alignment horizontal="center"/>
    </xf>
    <xf numFmtId="0" fontId="21" fillId="0" borderId="42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39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0" xfId="0" applyFont="1" applyFill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/>
    </xf>
    <xf numFmtId="0" fontId="0" fillId="0" borderId="42" xfId="0" applyFill="1" applyBorder="1" applyAlignment="1">
      <alignment horizontal="center"/>
    </xf>
    <xf numFmtId="0" fontId="0" fillId="0" borderId="38" xfId="0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40" xfId="0" applyFill="1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4" fillId="8" borderId="36" xfId="0" applyFont="1" applyFill="1" applyBorder="1" applyAlignment="1">
      <alignment horizontal="center" vertical="center" wrapText="1"/>
    </xf>
    <xf numFmtId="0" fontId="15" fillId="7" borderId="36" xfId="0" applyFont="1" applyFill="1" applyBorder="1" applyAlignment="1">
      <alignment horizontal="center" vertical="center" textRotation="90" wrapText="1"/>
    </xf>
    <xf numFmtId="0" fontId="6" fillId="8" borderId="36" xfId="0" applyFont="1" applyFill="1" applyBorder="1" applyAlignment="1">
      <alignment horizontal="center" vertical="center" wrapText="1"/>
    </xf>
    <xf numFmtId="0" fontId="7" fillId="8" borderId="36" xfId="0" applyFont="1" applyFill="1" applyBorder="1" applyAlignment="1">
      <alignment horizontal="center" vertical="center" textRotation="90" wrapText="1"/>
    </xf>
    <xf numFmtId="0" fontId="4" fillId="8" borderId="36" xfId="0" applyFont="1" applyFill="1" applyBorder="1" applyAlignment="1">
      <alignment horizontal="center" vertical="center" textRotation="90" wrapText="1"/>
    </xf>
    <xf numFmtId="0" fontId="18" fillId="8" borderId="33" xfId="0" applyFont="1" applyFill="1" applyBorder="1" applyAlignment="1">
      <alignment horizontal="right" vertical="center" wrapText="1"/>
    </xf>
    <xf numFmtId="0" fontId="18" fillId="8" borderId="34" xfId="0" applyFont="1" applyFill="1" applyBorder="1" applyAlignment="1">
      <alignment horizontal="right" vertical="center" wrapText="1"/>
    </xf>
    <xf numFmtId="0" fontId="26" fillId="0" borderId="34" xfId="0" applyFont="1" applyFill="1" applyBorder="1" applyAlignment="1">
      <alignment horizontal="left" vertical="center" wrapText="1"/>
    </xf>
    <xf numFmtId="0" fontId="26" fillId="0" borderId="35" xfId="0" applyFont="1" applyFill="1" applyBorder="1" applyAlignment="1">
      <alignment horizontal="left" vertical="center" wrapText="1"/>
    </xf>
    <xf numFmtId="0" fontId="8" fillId="9" borderId="6" xfId="1" applyFont="1" applyFill="1" applyBorder="1" applyAlignment="1">
      <alignment horizontal="center" vertical="center"/>
    </xf>
    <xf numFmtId="0" fontId="8" fillId="7" borderId="2" xfId="1" applyFont="1" applyFill="1" applyBorder="1" applyAlignment="1">
      <alignment horizontal="center" vertical="center"/>
    </xf>
    <xf numFmtId="0" fontId="8" fillId="7" borderId="3" xfId="1" applyFont="1" applyFill="1" applyBorder="1" applyAlignment="1">
      <alignment horizontal="center" vertical="center"/>
    </xf>
    <xf numFmtId="0" fontId="8" fillId="7" borderId="4" xfId="1" applyFont="1" applyFill="1" applyBorder="1" applyAlignment="1">
      <alignment horizontal="center" vertical="center"/>
    </xf>
    <xf numFmtId="9" fontId="10" fillId="7" borderId="25" xfId="1" applyNumberFormat="1" applyFont="1" applyFill="1" applyBorder="1" applyAlignment="1">
      <alignment horizontal="center" vertical="center"/>
    </xf>
    <xf numFmtId="0" fontId="10" fillId="7" borderId="26" xfId="1" applyFont="1" applyFill="1" applyBorder="1" applyAlignment="1">
      <alignment horizontal="center" vertical="center"/>
    </xf>
    <xf numFmtId="0" fontId="10" fillId="7" borderId="27" xfId="1" applyFont="1" applyFill="1" applyBorder="1" applyAlignment="1">
      <alignment horizontal="center" vertical="center"/>
    </xf>
    <xf numFmtId="0" fontId="8" fillId="0" borderId="18" xfId="1" applyFont="1" applyFill="1" applyBorder="1" applyAlignment="1">
      <alignment horizontal="left" vertical="center"/>
    </xf>
    <xf numFmtId="0" fontId="8" fillId="0" borderId="1" xfId="1" applyFont="1" applyFill="1" applyBorder="1" applyAlignment="1">
      <alignment horizontal="left" vertical="center"/>
    </xf>
    <xf numFmtId="0" fontId="11" fillId="7" borderId="26" xfId="1" applyFont="1" applyFill="1" applyBorder="1" applyAlignment="1">
      <alignment horizontal="center" vertical="center"/>
    </xf>
    <xf numFmtId="0" fontId="11" fillId="7" borderId="27" xfId="1" applyFont="1" applyFill="1" applyBorder="1" applyAlignment="1">
      <alignment horizontal="center" vertical="center"/>
    </xf>
    <xf numFmtId="0" fontId="14" fillId="6" borderId="18" xfId="1" applyFont="1" applyFill="1" applyBorder="1" applyAlignment="1">
      <alignment horizontal="left" vertical="center"/>
    </xf>
    <xf numFmtId="0" fontId="14" fillId="6" borderId="1" xfId="1" applyFont="1" applyFill="1" applyBorder="1" applyAlignment="1">
      <alignment horizontal="left" vertical="center"/>
    </xf>
    <xf numFmtId="0" fontId="14" fillId="7" borderId="18" xfId="1" applyFont="1" applyFill="1" applyBorder="1" applyAlignment="1">
      <alignment horizontal="center" vertical="center" textRotation="90"/>
    </xf>
    <xf numFmtId="0" fontId="14" fillId="7" borderId="11" xfId="1" applyFont="1" applyFill="1" applyBorder="1" applyAlignment="1">
      <alignment horizontal="center" vertical="center" textRotation="90"/>
    </xf>
    <xf numFmtId="0" fontId="10" fillId="7" borderId="8" xfId="1" applyFont="1" applyFill="1" applyBorder="1" applyAlignment="1">
      <alignment horizontal="center" vertical="center" wrapText="1"/>
    </xf>
    <xf numFmtId="0" fontId="10" fillId="7" borderId="9" xfId="1" applyFont="1" applyFill="1" applyBorder="1" applyAlignment="1">
      <alignment horizontal="center" vertical="center" wrapText="1"/>
    </xf>
    <xf numFmtId="0" fontId="10" fillId="7" borderId="23" xfId="1" applyFont="1" applyFill="1" applyBorder="1" applyAlignment="1">
      <alignment horizontal="center" vertical="center" wrapText="1"/>
    </xf>
    <xf numFmtId="0" fontId="10" fillId="7" borderId="11" xfId="1" applyFont="1" applyFill="1" applyBorder="1" applyAlignment="1">
      <alignment horizontal="center" vertical="center" wrapText="1"/>
    </xf>
    <xf numFmtId="0" fontId="10" fillId="7" borderId="12" xfId="1" applyFont="1" applyFill="1" applyBorder="1" applyAlignment="1">
      <alignment horizontal="center" vertical="center" wrapText="1"/>
    </xf>
    <xf numFmtId="0" fontId="10" fillId="5" borderId="24" xfId="1" applyFont="1" applyFill="1" applyBorder="1" applyAlignment="1">
      <alignment horizontal="center" vertical="center"/>
    </xf>
    <xf numFmtId="0" fontId="10" fillId="4" borderId="24" xfId="1" applyFont="1" applyFill="1" applyBorder="1" applyAlignment="1">
      <alignment horizontal="center" vertical="center"/>
    </xf>
    <xf numFmtId="0" fontId="12" fillId="7" borderId="8" xfId="1" applyFont="1" applyFill="1" applyBorder="1" applyAlignment="1">
      <alignment horizontal="left" vertical="center"/>
    </xf>
    <xf numFmtId="0" fontId="12" fillId="7" borderId="9" xfId="1" applyFont="1" applyFill="1" applyBorder="1" applyAlignment="1">
      <alignment horizontal="left" vertical="center"/>
    </xf>
    <xf numFmtId="0" fontId="13" fillId="7" borderId="9" xfId="1" applyFont="1" applyFill="1" applyBorder="1" applyAlignment="1">
      <alignment horizontal="center" vertical="center"/>
    </xf>
    <xf numFmtId="0" fontId="13" fillId="7" borderId="10" xfId="1" applyFont="1" applyFill="1" applyBorder="1" applyAlignment="1">
      <alignment horizontal="center" vertical="center"/>
    </xf>
    <xf numFmtId="0" fontId="9" fillId="0" borderId="18" xfId="1" applyFont="1" applyBorder="1" applyAlignment="1">
      <alignment horizontal="justify" vertical="top" wrapText="1"/>
    </xf>
    <xf numFmtId="0" fontId="9" fillId="0" borderId="1" xfId="1" applyFont="1" applyBorder="1" applyAlignment="1">
      <alignment horizontal="justify" vertical="top" wrapText="1"/>
    </xf>
    <xf numFmtId="17" fontId="9" fillId="0" borderId="1" xfId="1" applyNumberFormat="1" applyFont="1" applyBorder="1" applyAlignment="1">
      <alignment horizontal="center" vertical="top" wrapText="1"/>
    </xf>
    <xf numFmtId="0" fontId="0" fillId="0" borderId="15" xfId="0" applyBorder="1" applyAlignment="1">
      <alignment horizontal="center" vertical="top" wrapText="1"/>
    </xf>
    <xf numFmtId="0" fontId="9" fillId="7" borderId="11" xfId="1" applyFont="1" applyFill="1" applyBorder="1" applyAlignment="1">
      <alignment horizontal="justify" vertical="top" wrapText="1"/>
    </xf>
    <xf numFmtId="0" fontId="9" fillId="7" borderId="12" xfId="1" applyFont="1" applyFill="1" applyBorder="1" applyAlignment="1">
      <alignment horizontal="justify" vertical="top" wrapText="1"/>
    </xf>
    <xf numFmtId="0" fontId="14" fillId="0" borderId="30" xfId="1" applyFont="1" applyFill="1" applyBorder="1" applyAlignment="1">
      <alignment horizontal="center" vertical="center" wrapText="1"/>
    </xf>
    <xf numFmtId="0" fontId="14" fillId="0" borderId="31" xfId="1" applyFont="1" applyFill="1" applyBorder="1" applyAlignment="1">
      <alignment horizontal="center" vertical="center" wrapText="1"/>
    </xf>
    <xf numFmtId="0" fontId="14" fillId="0" borderId="32" xfId="1" applyFont="1" applyFill="1" applyBorder="1" applyAlignment="1">
      <alignment horizontal="center" vertical="center" wrapText="1"/>
    </xf>
    <xf numFmtId="0" fontId="10" fillId="3" borderId="24" xfId="1" applyFont="1" applyFill="1" applyBorder="1" applyAlignment="1">
      <alignment horizontal="center" vertical="center"/>
    </xf>
    <xf numFmtId="0" fontId="10" fillId="3" borderId="28" xfId="1" applyFont="1" applyFill="1" applyBorder="1" applyAlignment="1">
      <alignment horizontal="center" vertical="center"/>
    </xf>
    <xf numFmtId="0" fontId="10" fillId="7" borderId="16" xfId="1" applyFont="1" applyFill="1" applyBorder="1" applyAlignment="1">
      <alignment horizontal="center" vertical="center"/>
    </xf>
    <xf numFmtId="0" fontId="10" fillId="7" borderId="17" xfId="1" applyFont="1" applyFill="1" applyBorder="1" applyAlignment="1">
      <alignment horizontal="center" vertical="center"/>
    </xf>
    <xf numFmtId="0" fontId="10" fillId="7" borderId="19" xfId="1" applyFont="1" applyFill="1" applyBorder="1" applyAlignment="1">
      <alignment horizontal="center" vertical="center"/>
    </xf>
    <xf numFmtId="0" fontId="10" fillId="7" borderId="5" xfId="1" applyFont="1" applyFill="1" applyBorder="1" applyAlignment="1">
      <alignment horizontal="left" vertical="center" wrapText="1"/>
    </xf>
    <xf numFmtId="0" fontId="10" fillId="7" borderId="6" xfId="1" applyFont="1" applyFill="1" applyBorder="1" applyAlignment="1">
      <alignment horizontal="left" vertical="center" wrapText="1"/>
    </xf>
    <xf numFmtId="0" fontId="10" fillId="7" borderId="7" xfId="1" applyFont="1" applyFill="1" applyBorder="1" applyAlignment="1">
      <alignment horizontal="left" vertical="center" wrapText="1"/>
    </xf>
    <xf numFmtId="0" fontId="9" fillId="0" borderId="16" xfId="1" applyFont="1" applyFill="1" applyBorder="1" applyAlignment="1">
      <alignment horizontal="left" vertical="center" wrapText="1"/>
    </xf>
    <xf numFmtId="0" fontId="9" fillId="0" borderId="17" xfId="1" applyFont="1" applyFill="1" applyBorder="1" applyAlignment="1">
      <alignment horizontal="left" vertical="center" wrapText="1"/>
    </xf>
    <xf numFmtId="0" fontId="9" fillId="0" borderId="19" xfId="1" applyFont="1" applyFill="1" applyBorder="1" applyAlignment="1">
      <alignment horizontal="left" vertical="center" wrapText="1"/>
    </xf>
    <xf numFmtId="0" fontId="10" fillId="7" borderId="5" xfId="1" applyFont="1" applyFill="1" applyBorder="1" applyAlignment="1">
      <alignment horizontal="left" vertical="center"/>
    </xf>
    <xf numFmtId="0" fontId="10" fillId="7" borderId="6" xfId="1" applyFont="1" applyFill="1" applyBorder="1" applyAlignment="1">
      <alignment horizontal="left" vertical="center"/>
    </xf>
    <xf numFmtId="0" fontId="10" fillId="7" borderId="7" xfId="1" applyFont="1" applyFill="1" applyBorder="1" applyAlignment="1">
      <alignment horizontal="left" vertical="center"/>
    </xf>
    <xf numFmtId="0" fontId="10" fillId="2" borderId="8" xfId="1" applyFont="1" applyFill="1" applyBorder="1" applyAlignment="1">
      <alignment horizontal="center" vertical="center"/>
    </xf>
    <xf numFmtId="0" fontId="10" fillId="2" borderId="9" xfId="1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center" vertical="center"/>
    </xf>
    <xf numFmtId="0" fontId="10" fillId="2" borderId="18" xfId="1" applyFont="1" applyFill="1" applyBorder="1" applyAlignment="1">
      <alignment horizontal="center" vertical="center"/>
    </xf>
    <xf numFmtId="0" fontId="10" fillId="2" borderId="1" xfId="1" applyFont="1" applyFill="1" applyBorder="1" applyAlignment="1">
      <alignment horizontal="center" vertical="center"/>
    </xf>
    <xf numFmtId="0" fontId="14" fillId="2" borderId="9" xfId="1" applyFont="1" applyFill="1" applyBorder="1" applyAlignment="1">
      <alignment horizontal="center" vertical="center" textRotation="90" wrapText="1"/>
    </xf>
    <xf numFmtId="0" fontId="14" fillId="2" borderId="1" xfId="1" applyFont="1" applyFill="1" applyBorder="1" applyAlignment="1">
      <alignment horizontal="center" vertical="center" textRotation="90" wrapText="1"/>
    </xf>
    <xf numFmtId="0" fontId="14" fillId="2" borderId="9" xfId="1" applyFont="1" applyFill="1" applyBorder="1" applyAlignment="1">
      <alignment horizontal="center" vertical="center"/>
    </xf>
    <xf numFmtId="0" fontId="14" fillId="2" borderId="10" xfId="1" applyFont="1" applyFill="1" applyBorder="1" applyAlignment="1">
      <alignment horizontal="center" vertical="center"/>
    </xf>
    <xf numFmtId="0" fontId="14" fillId="2" borderId="1" xfId="1" applyFont="1" applyFill="1" applyBorder="1" applyAlignment="1">
      <alignment horizontal="center" vertical="center" wrapText="1"/>
    </xf>
    <xf numFmtId="0" fontId="8" fillId="7" borderId="18" xfId="1" applyFont="1" applyFill="1" applyBorder="1" applyAlignment="1">
      <alignment horizontal="left" vertical="center"/>
    </xf>
    <xf numFmtId="0" fontId="8" fillId="7" borderId="1" xfId="1" applyFont="1" applyFill="1" applyBorder="1" applyAlignment="1">
      <alignment horizontal="left" vertical="center"/>
    </xf>
    <xf numFmtId="0" fontId="14" fillId="2" borderId="15" xfId="1" applyFont="1" applyFill="1" applyBorder="1" applyAlignment="1">
      <alignment horizontal="center" vertical="center" wrapText="1"/>
    </xf>
    <xf numFmtId="0" fontId="8" fillId="7" borderId="45" xfId="1" applyFont="1" applyFill="1" applyBorder="1" applyAlignment="1">
      <alignment horizontal="left" vertical="center"/>
    </xf>
    <xf numFmtId="0" fontId="8" fillId="7" borderId="46" xfId="1" applyFont="1" applyFill="1" applyBorder="1" applyAlignment="1">
      <alignment horizontal="left" vertical="center"/>
    </xf>
    <xf numFmtId="0" fontId="8" fillId="7" borderId="47" xfId="1" applyFont="1" applyFill="1" applyBorder="1" applyAlignment="1">
      <alignment horizontal="left" vertical="center"/>
    </xf>
    <xf numFmtId="17" fontId="9" fillId="0" borderId="1" xfId="1" applyNumberFormat="1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10" fillId="7" borderId="6" xfId="1" applyFont="1" applyFill="1" applyBorder="1" applyAlignment="1">
      <alignment horizontal="center" vertical="center"/>
    </xf>
    <xf numFmtId="0" fontId="10" fillId="7" borderId="7" xfId="1" applyFont="1" applyFill="1" applyBorder="1" applyAlignment="1">
      <alignment horizontal="center" vertical="center"/>
    </xf>
    <xf numFmtId="0" fontId="23" fillId="7" borderId="17" xfId="1" applyFont="1" applyFill="1" applyBorder="1" applyAlignment="1">
      <alignment horizontal="center" vertical="center"/>
    </xf>
    <xf numFmtId="0" fontId="23" fillId="7" borderId="19" xfId="1" applyFont="1" applyFill="1" applyBorder="1" applyAlignment="1">
      <alignment horizontal="center" vertical="center"/>
    </xf>
    <xf numFmtId="0" fontId="8" fillId="0" borderId="5" xfId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0" fontId="8" fillId="0" borderId="16" xfId="1" applyFont="1" applyBorder="1" applyAlignment="1">
      <alignment horizontal="center" vertical="center"/>
    </xf>
    <xf numFmtId="0" fontId="8" fillId="0" borderId="17" xfId="1" applyFont="1" applyBorder="1" applyAlignment="1">
      <alignment horizontal="center" vertical="center"/>
    </xf>
    <xf numFmtId="0" fontId="8" fillId="0" borderId="19" xfId="1" applyFont="1" applyBorder="1" applyAlignment="1">
      <alignment horizontal="center" vertical="center"/>
    </xf>
    <xf numFmtId="0" fontId="8" fillId="7" borderId="8" xfId="1" applyFont="1" applyFill="1" applyBorder="1" applyAlignment="1">
      <alignment horizontal="left" vertical="center"/>
    </xf>
    <xf numFmtId="0" fontId="8" fillId="7" borderId="9" xfId="1" applyFont="1" applyFill="1" applyBorder="1" applyAlignment="1">
      <alignment horizontal="left" vertical="center"/>
    </xf>
    <xf numFmtId="0" fontId="8" fillId="7" borderId="10" xfId="1" applyFont="1" applyFill="1" applyBorder="1" applyAlignment="1">
      <alignment horizontal="left" vertical="center"/>
    </xf>
    <xf numFmtId="0" fontId="10" fillId="7" borderId="1" xfId="1" applyFont="1" applyFill="1" applyBorder="1" applyAlignment="1">
      <alignment horizontal="left" vertical="center"/>
    </xf>
    <xf numFmtId="0" fontId="10" fillId="7" borderId="22" xfId="1" applyFont="1" applyFill="1" applyBorder="1" applyAlignment="1">
      <alignment horizontal="left" vertical="center"/>
    </xf>
    <xf numFmtId="0" fontId="10" fillId="7" borderId="29" xfId="1" applyFont="1" applyFill="1" applyBorder="1" applyAlignment="1">
      <alignment horizontal="left" vertical="center"/>
    </xf>
    <xf numFmtId="0" fontId="8" fillId="7" borderId="11" xfId="1" applyFont="1" applyFill="1" applyBorder="1" applyAlignment="1">
      <alignment horizontal="left" vertical="center"/>
    </xf>
    <xf numFmtId="0" fontId="8" fillId="7" borderId="12" xfId="1" applyFont="1" applyFill="1" applyBorder="1" applyAlignment="1">
      <alignment horizontal="left" vertical="center"/>
    </xf>
    <xf numFmtId="2" fontId="10" fillId="7" borderId="31" xfId="1" applyNumberFormat="1" applyFont="1" applyFill="1" applyBorder="1" applyAlignment="1">
      <alignment horizontal="left" vertical="center"/>
    </xf>
    <xf numFmtId="2" fontId="10" fillId="7" borderId="17" xfId="1" applyNumberFormat="1" applyFont="1" applyFill="1" applyBorder="1" applyAlignment="1">
      <alignment horizontal="left" vertical="center"/>
    </xf>
    <xf numFmtId="2" fontId="10" fillId="7" borderId="19" xfId="1" applyNumberFormat="1" applyFont="1" applyFill="1" applyBorder="1" applyAlignment="1">
      <alignment horizontal="left" vertical="center"/>
    </xf>
    <xf numFmtId="0" fontId="14" fillId="2" borderId="8" xfId="1" applyFont="1" applyFill="1" applyBorder="1" applyAlignment="1">
      <alignment horizontal="center" vertical="center" wrapText="1"/>
    </xf>
    <xf numFmtId="0" fontId="14" fillId="2" borderId="9" xfId="1" applyFont="1" applyFill="1" applyBorder="1" applyAlignment="1">
      <alignment horizontal="center" vertical="center" wrapText="1"/>
    </xf>
    <xf numFmtId="0" fontId="14" fillId="2" borderId="18" xfId="1" applyFont="1" applyFill="1" applyBorder="1" applyAlignment="1">
      <alignment horizontal="center" vertical="center" wrapText="1"/>
    </xf>
    <xf numFmtId="0" fontId="8" fillId="7" borderId="5" xfId="1" applyFont="1" applyFill="1" applyBorder="1" applyAlignment="1">
      <alignment horizontal="center" vertical="center"/>
    </xf>
    <xf numFmtId="0" fontId="8" fillId="7" borderId="6" xfId="1" applyFont="1" applyFill="1" applyBorder="1" applyAlignment="1">
      <alignment horizontal="center" vertical="center"/>
    </xf>
    <xf numFmtId="0" fontId="8" fillId="7" borderId="7" xfId="1" applyFont="1" applyFill="1" applyBorder="1" applyAlignment="1">
      <alignment horizontal="center" vertical="center"/>
    </xf>
    <xf numFmtId="9" fontId="10" fillId="7" borderId="25" xfId="1" applyNumberFormat="1" applyFont="1" applyFill="1" applyBorder="1" applyAlignment="1">
      <alignment horizontal="center" vertical="center" wrapText="1"/>
    </xf>
    <xf numFmtId="0" fontId="10" fillId="7" borderId="26" xfId="1" applyFont="1" applyFill="1" applyBorder="1" applyAlignment="1">
      <alignment horizontal="center" vertical="center" wrapText="1"/>
    </xf>
    <xf numFmtId="0" fontId="10" fillId="7" borderId="27" xfId="1" applyFont="1" applyFill="1" applyBorder="1" applyAlignment="1">
      <alignment horizontal="center" vertical="center" wrapText="1"/>
    </xf>
    <xf numFmtId="0" fontId="9" fillId="0" borderId="11" xfId="1" applyFont="1" applyBorder="1" applyAlignment="1">
      <alignment horizontal="justify" vertical="top" wrapText="1"/>
    </xf>
    <xf numFmtId="0" fontId="9" fillId="0" borderId="12" xfId="1" applyFont="1" applyBorder="1" applyAlignment="1">
      <alignment horizontal="justify" vertical="top" wrapText="1"/>
    </xf>
    <xf numFmtId="0" fontId="0" fillId="0" borderId="13" xfId="0" applyBorder="1" applyAlignment="1">
      <alignment horizontal="justify" vertical="top" wrapText="1"/>
    </xf>
    <xf numFmtId="2" fontId="10" fillId="7" borderId="32" xfId="1" applyNumberFormat="1" applyFont="1" applyFill="1" applyBorder="1" applyAlignment="1">
      <alignment horizontal="left" vertical="center"/>
    </xf>
    <xf numFmtId="0" fontId="10" fillId="7" borderId="15" xfId="1" applyFont="1" applyFill="1" applyBorder="1" applyAlignment="1">
      <alignment horizontal="left" vertical="center"/>
    </xf>
    <xf numFmtId="9" fontId="10" fillId="7" borderId="2" xfId="1" applyNumberFormat="1" applyFont="1" applyFill="1" applyBorder="1" applyAlignment="1">
      <alignment horizontal="center" vertical="center" wrapText="1"/>
    </xf>
    <xf numFmtId="0" fontId="11" fillId="7" borderId="3" xfId="1" applyFont="1" applyFill="1" applyBorder="1" applyAlignment="1">
      <alignment horizontal="center" vertical="center" wrapText="1"/>
    </xf>
    <xf numFmtId="0" fontId="11" fillId="7" borderId="4" xfId="1" applyFont="1" applyFill="1" applyBorder="1" applyAlignment="1">
      <alignment horizontal="center" vertical="center" wrapText="1"/>
    </xf>
    <xf numFmtId="0" fontId="10" fillId="7" borderId="14" xfId="1" applyFont="1" applyFill="1" applyBorder="1" applyAlignment="1">
      <alignment horizontal="left" vertical="center"/>
    </xf>
    <xf numFmtId="0" fontId="10" fillId="7" borderId="0" xfId="1" applyFont="1" applyFill="1" applyBorder="1" applyAlignment="1">
      <alignment horizontal="left" vertical="center"/>
    </xf>
    <xf numFmtId="0" fontId="10" fillId="7" borderId="20" xfId="1" applyFont="1" applyFill="1" applyBorder="1" applyAlignment="1">
      <alignment horizontal="left" vertical="center"/>
    </xf>
    <xf numFmtId="1" fontId="10" fillId="7" borderId="25" xfId="1" applyNumberFormat="1" applyFont="1" applyFill="1" applyBorder="1" applyAlignment="1">
      <alignment horizontal="center" vertical="center"/>
    </xf>
    <xf numFmtId="1" fontId="10" fillId="7" borderId="26" xfId="1" applyNumberFormat="1" applyFont="1" applyFill="1" applyBorder="1" applyAlignment="1">
      <alignment horizontal="center" vertical="center"/>
    </xf>
    <xf numFmtId="1" fontId="10" fillId="7" borderId="27" xfId="1" applyNumberFormat="1" applyFont="1" applyFill="1" applyBorder="1" applyAlignment="1">
      <alignment horizontal="center" vertical="center"/>
    </xf>
    <xf numFmtId="0" fontId="14" fillId="7" borderId="21" xfId="1" applyFont="1" applyFill="1" applyBorder="1" applyAlignment="1">
      <alignment horizontal="center" vertical="center" textRotation="90"/>
    </xf>
    <xf numFmtId="0" fontId="9" fillId="7" borderId="30" xfId="1" applyFont="1" applyFill="1" applyBorder="1" applyAlignment="1">
      <alignment horizontal="justify" vertical="top" wrapText="1"/>
    </xf>
    <xf numFmtId="0" fontId="9" fillId="7" borderId="44" xfId="1" applyFont="1" applyFill="1" applyBorder="1" applyAlignment="1">
      <alignment horizontal="justify" vertical="top" wrapText="1"/>
    </xf>
    <xf numFmtId="0" fontId="0" fillId="0" borderId="44" xfId="0" applyBorder="1" applyAlignment="1">
      <alignment horizontal="justify" vertical="top"/>
    </xf>
    <xf numFmtId="0" fontId="0" fillId="0" borderId="44" xfId="0" applyBorder="1" applyAlignment="1">
      <alignment horizontal="justify" vertical="top" wrapText="1"/>
    </xf>
    <xf numFmtId="0" fontId="3" fillId="0" borderId="0" xfId="1" applyFont="1" applyAlignment="1">
      <alignment horizontal="center"/>
    </xf>
    <xf numFmtId="0" fontId="29" fillId="0" borderId="0" xfId="1" applyFont="1" applyAlignment="1">
      <alignment horizontal="left"/>
    </xf>
    <xf numFmtId="0" fontId="27" fillId="0" borderId="0" xfId="1" applyFont="1" applyAlignment="1">
      <alignment horizontal="left"/>
    </xf>
    <xf numFmtId="0" fontId="28" fillId="0" borderId="0" xfId="1" applyFont="1" applyAlignment="1"/>
    <xf numFmtId="0" fontId="3" fillId="10" borderId="45" xfId="1" applyFont="1" applyFill="1" applyBorder="1" applyAlignment="1">
      <alignment horizontal="center" vertical="center"/>
    </xf>
    <xf numFmtId="0" fontId="3" fillId="10" borderId="49" xfId="1" applyFont="1" applyFill="1" applyBorder="1" applyAlignment="1">
      <alignment horizontal="center" vertical="center"/>
    </xf>
    <xf numFmtId="0" fontId="29" fillId="0" borderId="0" xfId="1" applyFont="1" applyAlignment="1">
      <alignment horizontal="center"/>
    </xf>
    <xf numFmtId="0" fontId="1" fillId="0" borderId="0" xfId="1" applyFont="1" applyAlignment="1"/>
    <xf numFmtId="0" fontId="28" fillId="0" borderId="48" xfId="1" applyFont="1" applyBorder="1" applyAlignment="1" applyProtection="1">
      <alignment horizontal="center"/>
      <protection locked="0"/>
    </xf>
  </cellXfs>
  <cellStyles count="10">
    <cellStyle name="Millares" xfId="3" builtinId="3"/>
    <cellStyle name="Millares 2" xfId="5"/>
    <cellStyle name="Millares_Tablero de Indicadores" xfId="4"/>
    <cellStyle name="Normal" xfId="0" builtinId="0"/>
    <cellStyle name="Normal 2" xfId="1"/>
    <cellStyle name="Normal 7" xfId="7"/>
    <cellStyle name="Normal 8" xfId="9"/>
    <cellStyle name="Normal 9" xfId="8"/>
    <cellStyle name="Porcentaje" xfId="2" builtinId="5"/>
    <cellStyle name="Porcentaje 2" xfId="6"/>
  </cellStyles>
  <dxfs count="30"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'01'!$A$16</c:f>
              <c:strCache>
                <c:ptCount val="1"/>
                <c:pt idx="0">
                  <c:v>META  AÑO 2018</c:v>
                </c:pt>
              </c:strCache>
            </c:strRef>
          </c:tx>
          <c:marker>
            <c:symbol val="none"/>
          </c:marker>
          <c:cat>
            <c:strRef>
              <c:f>'01'!$C$14:$N$14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'01'!$C$16:$N$16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57-4F9A-9060-38FF7AC8B15A}"/>
            </c:ext>
          </c:extLst>
        </c:ser>
        <c:ser>
          <c:idx val="1"/>
          <c:order val="1"/>
          <c:tx>
            <c:strRef>
              <c:f>'01'!$A$17</c:f>
              <c:strCache>
                <c:ptCount val="1"/>
                <c:pt idx="0">
                  <c:v>RESULTADOS DE LA VIGENCIA</c:v>
                </c:pt>
              </c:strCache>
            </c:strRef>
          </c:tx>
          <c:marker>
            <c:symbol val="none"/>
          </c:marker>
          <c:cat>
            <c:strRef>
              <c:f>'01'!$C$14:$N$14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'01'!$C$17:$N$17</c:f>
              <c:numCache>
                <c:formatCode>0.0%</c:formatCode>
                <c:ptCount val="12"/>
                <c:pt idx="0">
                  <c:v>0.94317520379295061</c:v>
                </c:pt>
                <c:pt idx="1">
                  <c:v>0.93226134970438923</c:v>
                </c:pt>
                <c:pt idx="2">
                  <c:v>0.92963149633031028</c:v>
                </c:pt>
                <c:pt idx="3">
                  <c:v>0.9017271714848667</c:v>
                </c:pt>
                <c:pt idx="4">
                  <c:v>0.90750047540137457</c:v>
                </c:pt>
                <c:pt idx="5">
                  <c:v>0.75392580098877382</c:v>
                </c:pt>
                <c:pt idx="6">
                  <c:v>0.9031394256581845</c:v>
                </c:pt>
                <c:pt idx="7">
                  <c:v>0.87792860886754509</c:v>
                </c:pt>
                <c:pt idx="8">
                  <c:v>0.93377584397572244</c:v>
                </c:pt>
                <c:pt idx="9">
                  <c:v>0.87631988213145617</c:v>
                </c:pt>
                <c:pt idx="10">
                  <c:v>0.8748505469716864</c:v>
                </c:pt>
                <c:pt idx="11">
                  <c:v>0.87382890970314453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657-4F9A-9060-38FF7AC8B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03072"/>
        <c:axId val="131617152"/>
      </c:lineChart>
      <c:catAx>
        <c:axId val="131603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lang="es-ES"/>
            </a:pPr>
            <a:endParaRPr lang="es-CO"/>
          </a:p>
        </c:txPr>
        <c:crossAx val="131617152"/>
        <c:crosses val="autoZero"/>
        <c:auto val="1"/>
        <c:lblAlgn val="ctr"/>
        <c:lblOffset val="100"/>
        <c:noMultiLvlLbl val="0"/>
      </c:catAx>
      <c:valAx>
        <c:axId val="13161715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1316030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000000000000944" l="0.70000000000000062" r="0.70000000000000062" t="0.75000000000000944" header="0.30000000000000032" footer="0.3000000000000003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'10'!$A$16</c:f>
              <c:strCache>
                <c:ptCount val="1"/>
                <c:pt idx="0">
                  <c:v>META  AÑO 2018</c:v>
                </c:pt>
              </c:strCache>
            </c:strRef>
          </c:tx>
          <c:marker>
            <c:symbol val="none"/>
          </c:marker>
          <c:cat>
            <c:strRef>
              <c:f>'10'!$C$14:$N$14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'10'!$C$16:$N$16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176-4832-AD60-A21C60BD70EB}"/>
            </c:ext>
          </c:extLst>
        </c:ser>
        <c:ser>
          <c:idx val="1"/>
          <c:order val="1"/>
          <c:tx>
            <c:strRef>
              <c:f>'10'!$A$17</c:f>
              <c:strCache>
                <c:ptCount val="1"/>
                <c:pt idx="0">
                  <c:v>RESULTADOS DE LA VIGENCIA</c:v>
                </c:pt>
              </c:strCache>
            </c:strRef>
          </c:tx>
          <c:marker>
            <c:symbol val="none"/>
          </c:marker>
          <c:cat>
            <c:strRef>
              <c:f>'10'!$C$14:$N$14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'10'!$C$17:$N$17</c:f>
              <c:numCache>
                <c:formatCode>0.0%</c:formatCode>
                <c:ptCount val="12"/>
                <c:pt idx="0">
                  <c:v>0.48456181079512478</c:v>
                </c:pt>
                <c:pt idx="1">
                  <c:v>0.57059305181892617</c:v>
                </c:pt>
                <c:pt idx="2">
                  <c:v>0.63859236937535113</c:v>
                </c:pt>
                <c:pt idx="3">
                  <c:v>0.43629634276394202</c:v>
                </c:pt>
                <c:pt idx="4">
                  <c:v>0.52799350875159379</c:v>
                </c:pt>
                <c:pt idx="5">
                  <c:v>0.5447715510045078</c:v>
                </c:pt>
                <c:pt idx="6">
                  <c:v>0.49596478356566398</c:v>
                </c:pt>
                <c:pt idx="7">
                  <c:v>0.54708567788512585</c:v>
                </c:pt>
                <c:pt idx="8">
                  <c:v>0.46915101872178977</c:v>
                </c:pt>
                <c:pt idx="9">
                  <c:v>0.63432763288087679</c:v>
                </c:pt>
                <c:pt idx="10">
                  <c:v>0.55892107886959241</c:v>
                </c:pt>
                <c:pt idx="11">
                  <c:v>0.62479432332373508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176-4832-AD60-A21C60BD7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42432"/>
        <c:axId val="132244224"/>
      </c:lineChart>
      <c:catAx>
        <c:axId val="132242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lang="es-ES"/>
            </a:pPr>
            <a:endParaRPr lang="es-CO"/>
          </a:p>
        </c:txPr>
        <c:crossAx val="132244224"/>
        <c:crosses val="autoZero"/>
        <c:auto val="1"/>
        <c:lblAlgn val="ctr"/>
        <c:lblOffset val="100"/>
        <c:noMultiLvlLbl val="0"/>
      </c:catAx>
      <c:valAx>
        <c:axId val="1322442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1322424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000000000000966" l="0.70000000000000062" r="0.70000000000000062" t="0.75000000000000966" header="0.30000000000000032" footer="0.30000000000000032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'11'!$A$16</c:f>
              <c:strCache>
                <c:ptCount val="1"/>
                <c:pt idx="0">
                  <c:v>META  AÑO 2018</c:v>
                </c:pt>
              </c:strCache>
            </c:strRef>
          </c:tx>
          <c:marker>
            <c:symbol val="none"/>
          </c:marker>
          <c:cat>
            <c:strRef>
              <c:f>'11'!$C$14:$N$14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'11'!$C$16:$N$16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B71-41A4-82C4-91A1229CAD93}"/>
            </c:ext>
          </c:extLst>
        </c:ser>
        <c:ser>
          <c:idx val="1"/>
          <c:order val="1"/>
          <c:tx>
            <c:strRef>
              <c:f>'11'!$A$17</c:f>
              <c:strCache>
                <c:ptCount val="1"/>
                <c:pt idx="0">
                  <c:v>RESULTADOS DE LA VIGENCIA</c:v>
                </c:pt>
              </c:strCache>
            </c:strRef>
          </c:tx>
          <c:marker>
            <c:symbol val="none"/>
          </c:marker>
          <c:cat>
            <c:strRef>
              <c:f>'11'!$C$14:$N$14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'11'!$C$17:$N$17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B71-41A4-82C4-91A1229CA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688576"/>
        <c:axId val="181706752"/>
      </c:lineChart>
      <c:catAx>
        <c:axId val="181688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lang="es-ES"/>
            </a:pPr>
            <a:endParaRPr lang="es-CO"/>
          </a:p>
        </c:txPr>
        <c:crossAx val="181706752"/>
        <c:crosses val="autoZero"/>
        <c:auto val="1"/>
        <c:lblAlgn val="ctr"/>
        <c:lblOffset val="100"/>
        <c:noMultiLvlLbl val="0"/>
      </c:catAx>
      <c:valAx>
        <c:axId val="18170675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1816885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000000000000988" l="0.70000000000000062" r="0.70000000000000062" t="0.75000000000000988" header="0.30000000000000032" footer="0.30000000000000032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'12'!$A$16</c:f>
              <c:strCache>
                <c:ptCount val="1"/>
                <c:pt idx="0">
                  <c:v>META  AÑO 2018</c:v>
                </c:pt>
              </c:strCache>
            </c:strRef>
          </c:tx>
          <c:marker>
            <c:symbol val="none"/>
          </c:marker>
          <c:cat>
            <c:strRef>
              <c:f>'12'!$C$14:$N$14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'12'!$C$16:$N$16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DD4-45FC-99BB-7D5121C976D8}"/>
            </c:ext>
          </c:extLst>
        </c:ser>
        <c:ser>
          <c:idx val="1"/>
          <c:order val="1"/>
          <c:tx>
            <c:strRef>
              <c:f>'12'!$A$17</c:f>
              <c:strCache>
                <c:ptCount val="1"/>
                <c:pt idx="0">
                  <c:v>RESULTADOS DE LA VIGENCIA</c:v>
                </c:pt>
              </c:strCache>
            </c:strRef>
          </c:tx>
          <c:marker>
            <c:symbol val="none"/>
          </c:marker>
          <c:cat>
            <c:strRef>
              <c:f>'12'!$C$14:$N$14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'12'!$C$17:$N$17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DD4-45FC-99BB-7D5121C97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543872"/>
        <c:axId val="182545408"/>
      </c:lineChart>
      <c:catAx>
        <c:axId val="182543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lang="es-ES"/>
            </a:pPr>
            <a:endParaRPr lang="es-CO"/>
          </a:p>
        </c:txPr>
        <c:crossAx val="182545408"/>
        <c:crosses val="autoZero"/>
        <c:auto val="1"/>
        <c:lblAlgn val="ctr"/>
        <c:lblOffset val="100"/>
        <c:noMultiLvlLbl val="0"/>
      </c:catAx>
      <c:valAx>
        <c:axId val="18254540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1825438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00000000000101" l="0.70000000000000062" r="0.70000000000000062" t="0.7500000000000101" header="0.30000000000000032" footer="0.30000000000000032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'13'!$A$16</c:f>
              <c:strCache>
                <c:ptCount val="1"/>
                <c:pt idx="0">
                  <c:v>META  AÑO 2018</c:v>
                </c:pt>
              </c:strCache>
            </c:strRef>
          </c:tx>
          <c:marker>
            <c:symbol val="none"/>
          </c:marker>
          <c:cat>
            <c:strRef>
              <c:f>'13'!$C$14:$N$14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'13'!$C$16:$N$16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CC-4CD4-AEC8-756507B63F10}"/>
            </c:ext>
          </c:extLst>
        </c:ser>
        <c:ser>
          <c:idx val="1"/>
          <c:order val="1"/>
          <c:tx>
            <c:strRef>
              <c:f>'13'!$A$17</c:f>
              <c:strCache>
                <c:ptCount val="1"/>
                <c:pt idx="0">
                  <c:v>RESULTADOS DE LA VIGENCIA</c:v>
                </c:pt>
              </c:strCache>
            </c:strRef>
          </c:tx>
          <c:marker>
            <c:symbol val="none"/>
          </c:marker>
          <c:cat>
            <c:strRef>
              <c:f>'13'!$C$14:$N$14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'13'!$C$17:$N$17</c:f>
              <c:numCache>
                <c:formatCode>0.0%</c:formatCode>
                <c:ptCount val="12"/>
                <c:pt idx="0">
                  <c:v>3.6900369003690036E-3</c:v>
                </c:pt>
                <c:pt idx="1">
                  <c:v>9.8039215686274508E-3</c:v>
                </c:pt>
                <c:pt idx="2">
                  <c:v>4.8780487804878049E-3</c:v>
                </c:pt>
                <c:pt idx="3">
                  <c:v>0</c:v>
                </c:pt>
                <c:pt idx="4">
                  <c:v>0</c:v>
                </c:pt>
                <c:pt idx="5">
                  <c:v>3.6452004860267314E-3</c:v>
                </c:pt>
                <c:pt idx="6">
                  <c:v>1.2121212121212121E-3</c:v>
                </c:pt>
                <c:pt idx="7">
                  <c:v>2.4271844660194173E-3</c:v>
                </c:pt>
                <c:pt idx="8">
                  <c:v>0</c:v>
                </c:pt>
                <c:pt idx="9">
                  <c:v>0</c:v>
                </c:pt>
                <c:pt idx="10">
                  <c:v>3.6231884057971015E-3</c:v>
                </c:pt>
                <c:pt idx="11">
                  <c:v>2.4183796856106408E-3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CC-4CD4-AEC8-756507B6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690560"/>
        <c:axId val="182692096"/>
      </c:lineChart>
      <c:catAx>
        <c:axId val="182690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lang="es-ES"/>
            </a:pPr>
            <a:endParaRPr lang="es-CO"/>
          </a:p>
        </c:txPr>
        <c:crossAx val="182692096"/>
        <c:crosses val="autoZero"/>
        <c:auto val="1"/>
        <c:lblAlgn val="ctr"/>
        <c:lblOffset val="100"/>
        <c:noMultiLvlLbl val="0"/>
      </c:catAx>
      <c:valAx>
        <c:axId val="1826920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1826905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000000000001055" l="0.70000000000000062" r="0.70000000000000062" t="0.75000000000001055" header="0.30000000000000032" footer="0.30000000000000032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'14'!$A$16</c:f>
              <c:strCache>
                <c:ptCount val="1"/>
                <c:pt idx="0">
                  <c:v>META  AÑO 2018</c:v>
                </c:pt>
              </c:strCache>
            </c:strRef>
          </c:tx>
          <c:marker>
            <c:symbol val="none"/>
          </c:marker>
          <c:cat>
            <c:strRef>
              <c:f>'14'!$C$14:$N$14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'14'!$C$16:$N$16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8B-48E5-B770-13C2F6EE1B7A}"/>
            </c:ext>
          </c:extLst>
        </c:ser>
        <c:ser>
          <c:idx val="1"/>
          <c:order val="1"/>
          <c:tx>
            <c:strRef>
              <c:f>'14'!$A$17</c:f>
              <c:strCache>
                <c:ptCount val="1"/>
                <c:pt idx="0">
                  <c:v>RESULTADOS DE LA VIGENCIA</c:v>
                </c:pt>
              </c:strCache>
            </c:strRef>
          </c:tx>
          <c:marker>
            <c:symbol val="none"/>
          </c:marker>
          <c:cat>
            <c:strRef>
              <c:f>'14'!$C$14:$N$14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'14'!$C$17:$N$17</c:f>
              <c:numCache>
                <c:formatCode>0.0%</c:formatCode>
                <c:ptCount val="12"/>
                <c:pt idx="0">
                  <c:v>0.9552058111380145</c:v>
                </c:pt>
                <c:pt idx="1">
                  <c:v>0.95536791314837144</c:v>
                </c:pt>
                <c:pt idx="2">
                  <c:v>0.95558223289315714</c:v>
                </c:pt>
                <c:pt idx="3">
                  <c:v>0.95558223289315725</c:v>
                </c:pt>
                <c:pt idx="4">
                  <c:v>0.95574162679425834</c:v>
                </c:pt>
                <c:pt idx="5">
                  <c:v>0.95574162679425823</c:v>
                </c:pt>
                <c:pt idx="6">
                  <c:v>0.95346062052505953</c:v>
                </c:pt>
                <c:pt idx="7">
                  <c:v>0.95579450418160095</c:v>
                </c:pt>
                <c:pt idx="8">
                  <c:v>0.95589988081048871</c:v>
                </c:pt>
                <c:pt idx="9">
                  <c:v>0.955952380952381</c:v>
                </c:pt>
                <c:pt idx="10">
                  <c:v>0.95600475624256842</c:v>
                </c:pt>
                <c:pt idx="11">
                  <c:v>0.955952380952381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8B-48E5-B770-13C2F6EE1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890496"/>
        <c:axId val="182892032"/>
      </c:lineChart>
      <c:catAx>
        <c:axId val="182890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lang="es-ES"/>
            </a:pPr>
            <a:endParaRPr lang="es-CO"/>
          </a:p>
        </c:txPr>
        <c:crossAx val="182892032"/>
        <c:crosses val="autoZero"/>
        <c:auto val="1"/>
        <c:lblAlgn val="ctr"/>
        <c:lblOffset val="100"/>
        <c:noMultiLvlLbl val="0"/>
      </c:catAx>
      <c:valAx>
        <c:axId val="1828920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1828904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000000000001033" l="0.70000000000000062" r="0.70000000000000062" t="0.75000000000001033" header="0.30000000000000032" footer="0.30000000000000032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autoTitleDeleted val="0"/>
    <c:view3D>
      <c:rotX val="66"/>
      <c:hPercent val="57"/>
      <c:rotY val="39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56255841259646E-2"/>
          <c:y val="1.049871457388701E-2"/>
          <c:w val="0.91718819975904531"/>
          <c:h val="0.85826991641526362"/>
        </c:manualLayout>
      </c:layout>
      <c:bar3DChart>
        <c:barDir val="col"/>
        <c:grouping val="standar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3.1626562159270811E-3"/>
                  <c:y val="-0.10362318148700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7E-47AA-A61D-32FC728E2A89}"/>
                </c:ext>
              </c:extLst>
            </c:dLbl>
            <c:dLbl>
              <c:idx val="1"/>
              <c:layout>
                <c:manualLayout>
                  <c:x val="7.7893490880024145E-3"/>
                  <c:y val="-8.7875109626168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7E-47AA-A61D-32FC728E2A89}"/>
                </c:ext>
              </c:extLst>
            </c:dLbl>
            <c:dLbl>
              <c:idx val="2"/>
              <c:layout>
                <c:manualLayout>
                  <c:x val="9.2910395758895748E-3"/>
                  <c:y val="-8.7875109626168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7E-47AA-A61D-32FC728E2A89}"/>
                </c:ext>
              </c:extLst>
            </c:dLbl>
            <c:dLbl>
              <c:idx val="3"/>
              <c:layout>
                <c:manualLayout>
                  <c:x val="7.6677276795890596E-3"/>
                  <c:y val="-0.10362318148700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7E-47AA-A61D-32FC728E2A89}"/>
                </c:ext>
              </c:extLst>
            </c:dLbl>
            <c:dLbl>
              <c:idx val="4"/>
              <c:layout>
                <c:manualLayout>
                  <c:x val="9.1694181674763526E-3"/>
                  <c:y val="-8.7875109626168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7E-47AA-A61D-32FC728E2A89}"/>
                </c:ext>
              </c:extLst>
            </c:dLbl>
            <c:dLbl>
              <c:idx val="5"/>
              <c:layout>
                <c:manualLayout>
                  <c:x val="1.3796111039551327E-2"/>
                  <c:y val="-8.5250430982700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7E-47AA-A61D-32FC728E2A89}"/>
                </c:ext>
              </c:extLst>
            </c:dLbl>
            <c:dLbl>
              <c:idx val="6"/>
              <c:layout>
                <c:manualLayout>
                  <c:x val="1.5297965569433402E-2"/>
                  <c:y val="-8.5250430982700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7E-47AA-A61D-32FC728E2A89}"/>
                </c:ext>
              </c:extLst>
            </c:dLbl>
            <c:dLbl>
              <c:idx val="7"/>
              <c:layout>
                <c:manualLayout>
                  <c:x val="1.6799656057320637E-2"/>
                  <c:y val="-8.0001073695753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7E-47AA-A61D-32FC728E2A89}"/>
                </c:ext>
              </c:extLst>
            </c:dLbl>
            <c:dLbl>
              <c:idx val="8"/>
              <c:layout>
                <c:manualLayout>
                  <c:x val="1.8301346545207983E-2"/>
                  <c:y val="-8.5250430982700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7E-47AA-A61D-32FC728E2A89}"/>
                </c:ext>
              </c:extLst>
            </c:dLbl>
            <c:dLbl>
              <c:idx val="9"/>
              <c:layout>
                <c:manualLayout>
                  <c:x val="1.9802872991101162E-2"/>
                  <c:y val="-8.5250430982700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7E-47AA-A61D-32FC728E2A89}"/>
                </c:ext>
              </c:extLst>
            </c:dLbl>
            <c:dLbl>
              <c:idx val="10"/>
              <c:layout>
                <c:manualLayout>
                  <c:x val="2.1304727520982676E-2"/>
                  <c:y val="-8.5250430982700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7E-47AA-A61D-32FC728E2A89}"/>
                </c:ext>
              </c:extLst>
            </c:dLbl>
            <c:dLbl>
              <c:idx val="11"/>
              <c:layout>
                <c:manualLayout>
                  <c:x val="2.2806418008870941E-2"/>
                  <c:y val="-8.0001073695753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7E-47AA-A61D-32FC728E2A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'NATAGA-18'!$D$52:$K$52</c:f>
              <c:numCache>
                <c:formatCode>mmm\-yy</c:formatCode>
                <c:ptCount val="8"/>
                <c:pt idx="0">
                  <c:v>43101</c:v>
                </c:pt>
                <c:pt idx="1">
                  <c:v>43132</c:v>
                </c:pt>
                <c:pt idx="2">
                  <c:v>43163</c:v>
                </c:pt>
                <c:pt idx="3">
                  <c:v>43194</c:v>
                </c:pt>
                <c:pt idx="4">
                  <c:v>43225</c:v>
                </c:pt>
                <c:pt idx="5">
                  <c:v>43256</c:v>
                </c:pt>
                <c:pt idx="6">
                  <c:v>43287</c:v>
                </c:pt>
                <c:pt idx="7">
                  <c:v>43318</c:v>
                </c:pt>
              </c:numCache>
            </c:numRef>
          </c:cat>
          <c:val>
            <c:numRef>
              <c:f>'NATAGA-18'!$D$53:$K$53</c:f>
              <c:numCache>
                <c:formatCode>0%</c:formatCode>
                <c:ptCount val="8"/>
                <c:pt idx="0">
                  <c:v>0.9842615012106537</c:v>
                </c:pt>
                <c:pt idx="1">
                  <c:v>0.9843184559710495</c:v>
                </c:pt>
                <c:pt idx="2">
                  <c:v>0.98439375750300118</c:v>
                </c:pt>
                <c:pt idx="3">
                  <c:v>0.98439375750300118</c:v>
                </c:pt>
                <c:pt idx="4">
                  <c:v>0.98444976076555024</c:v>
                </c:pt>
                <c:pt idx="5">
                  <c:v>0.98444976076555024</c:v>
                </c:pt>
                <c:pt idx="6">
                  <c:v>0.98448687350835318</c:v>
                </c:pt>
                <c:pt idx="7">
                  <c:v>0.98446833930704902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AF7E-47AA-A61D-32FC728E2A89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6.5585229278869485E-3"/>
                  <c:y val="-0.136455752413419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7E-47AA-A61D-32FC728E2A89}"/>
                </c:ext>
              </c:extLst>
            </c:dLbl>
            <c:dLbl>
              <c:idx val="1"/>
              <c:layout>
                <c:manualLayout>
                  <c:x val="8.0602134157742467E-3"/>
                  <c:y val="-0.13908043105689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7E-47AA-A61D-32FC728E2A89}"/>
                </c:ext>
              </c:extLst>
            </c:dLbl>
            <c:dLbl>
              <c:idx val="2"/>
              <c:layout>
                <c:manualLayout>
                  <c:x val="3.3120631772811113E-3"/>
                  <c:y val="-0.11545832326564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7E-47AA-A61D-32FC728E2A89}"/>
                </c:ext>
              </c:extLst>
            </c:dLbl>
            <c:dLbl>
              <c:idx val="3"/>
              <c:layout>
                <c:manualLayout>
                  <c:x val="1.1063758433543685E-2"/>
                  <c:y val="-0.11020896597870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7E-47AA-A61D-32FC728E2A89}"/>
                </c:ext>
              </c:extLst>
            </c:dLbl>
            <c:dLbl>
              <c:idx val="4"/>
              <c:layout>
                <c:manualLayout>
                  <c:x val="9.4404465372440408E-3"/>
                  <c:y val="-0.11545832326564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7E-47AA-A61D-32FC728E2A89}"/>
                </c:ext>
              </c:extLst>
            </c:dLbl>
            <c:dLbl>
              <c:idx val="5"/>
              <c:layout>
                <c:manualLayout>
                  <c:x val="1.0942137025130683E-2"/>
                  <c:y val="-0.11020896597870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7E-47AA-A61D-32FC728E2A89}"/>
                </c:ext>
              </c:extLst>
            </c:dLbl>
            <c:dLbl>
              <c:idx val="6"/>
              <c:layout>
                <c:manualLayout>
                  <c:x val="1.24438275130185E-2"/>
                  <c:y val="-0.11020896597870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7E-47AA-A61D-32FC728E2A89}"/>
                </c:ext>
              </c:extLst>
            </c:dLbl>
            <c:dLbl>
              <c:idx val="7"/>
              <c:layout>
                <c:manualLayout>
                  <c:x val="1.3945518000905783E-2"/>
                  <c:y val="-0.11545832326564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7E-47AA-A61D-32FC728E2A89}"/>
                </c:ext>
              </c:extLst>
            </c:dLbl>
            <c:dLbl>
              <c:idx val="8"/>
              <c:layout>
                <c:manualLayout>
                  <c:x val="1.2322206104605014E-2"/>
                  <c:y val="-9.9710251404815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7E-47AA-A61D-32FC728E2A89}"/>
                </c:ext>
              </c:extLst>
            </c:dLbl>
            <c:dLbl>
              <c:idx val="9"/>
              <c:layout>
                <c:manualLayout>
                  <c:x val="2.0073901360867612E-2"/>
                  <c:y val="-0.11020896597870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7E-47AA-A61D-32FC728E2A89}"/>
                </c:ext>
              </c:extLst>
            </c:dLbl>
            <c:dLbl>
              <c:idx val="10"/>
              <c:layout>
                <c:manualLayout>
                  <c:x val="2.1575591848754946E-2"/>
                  <c:y val="-9.9710251404815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7E-47AA-A61D-32FC728E2A89}"/>
                </c:ext>
              </c:extLst>
            </c:dLbl>
            <c:dLbl>
              <c:idx val="11"/>
              <c:layout>
                <c:manualLayout>
                  <c:x val="1.6827277568267587E-2"/>
                  <c:y val="-9.9710251404815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7E-47AA-A61D-32FC728E2A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'NATAGA-18'!$D$52:$K$52</c:f>
              <c:numCache>
                <c:formatCode>mmm\-yy</c:formatCode>
                <c:ptCount val="8"/>
                <c:pt idx="0">
                  <c:v>43101</c:v>
                </c:pt>
                <c:pt idx="1">
                  <c:v>43132</c:v>
                </c:pt>
                <c:pt idx="2">
                  <c:v>43163</c:v>
                </c:pt>
                <c:pt idx="3">
                  <c:v>43194</c:v>
                </c:pt>
                <c:pt idx="4">
                  <c:v>43225</c:v>
                </c:pt>
                <c:pt idx="5">
                  <c:v>43256</c:v>
                </c:pt>
                <c:pt idx="6">
                  <c:v>43287</c:v>
                </c:pt>
                <c:pt idx="7">
                  <c:v>43318</c:v>
                </c:pt>
              </c:numCache>
            </c:numRef>
          </c:cat>
          <c:val>
            <c:numRef>
              <c:f>'NATAGA-18'!$D$54:$K$54</c:f>
              <c:numCache>
                <c:formatCode>0%</c:formatCode>
                <c:ptCount val="8"/>
                <c:pt idx="0">
                  <c:v>0.95278450363196121</c:v>
                </c:pt>
                <c:pt idx="1">
                  <c:v>0.95295536791314839</c:v>
                </c:pt>
                <c:pt idx="2">
                  <c:v>0.95318127250900364</c:v>
                </c:pt>
                <c:pt idx="3">
                  <c:v>0.95318127250900364</c:v>
                </c:pt>
                <c:pt idx="4">
                  <c:v>0.95334928229665072</c:v>
                </c:pt>
                <c:pt idx="5">
                  <c:v>0.95334928229665072</c:v>
                </c:pt>
                <c:pt idx="6">
                  <c:v>0.95226730310262531</c:v>
                </c:pt>
                <c:pt idx="7">
                  <c:v>0.95459976105137401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AF7E-47AA-A61D-32FC728E2A89}"/>
            </c:ext>
          </c:extLst>
        </c:ser>
        <c:ser>
          <c:idx val="2"/>
          <c:order val="2"/>
          <c:invertIfNegative val="0"/>
          <c:dLbls>
            <c:dLbl>
              <c:idx val="0"/>
              <c:layout>
                <c:manualLayout>
                  <c:x val="8.3295512976541228E-3"/>
                  <c:y val="-0.12589364674988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7E-47AA-A61D-32FC728E2A89}"/>
                </c:ext>
              </c:extLst>
            </c:dLbl>
            <c:dLbl>
              <c:idx val="1"/>
              <c:layout>
                <c:manualLayout>
                  <c:x val="8.2687405934475048E-3"/>
                  <c:y val="-0.13114300403682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7E-47AA-A61D-32FC728E2A89}"/>
                </c:ext>
              </c:extLst>
            </c:dLbl>
            <c:dLbl>
              <c:idx val="2"/>
              <c:layout>
                <c:manualLayout>
                  <c:x val="1.13329322734286E-2"/>
                  <c:y val="-0.12589364674988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7E-47AA-A61D-32FC728E2A89}"/>
                </c:ext>
              </c:extLst>
            </c:dLbl>
            <c:dLbl>
              <c:idx val="3"/>
              <c:layout>
                <c:manualLayout>
                  <c:x val="8.1471191850344959E-3"/>
                  <c:y val="-0.13114300403682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7E-47AA-A61D-32FC728E2A89}"/>
                </c:ext>
              </c:extLst>
            </c:dLbl>
            <c:dLbl>
              <c:idx val="4"/>
              <c:layout>
                <c:manualLayout>
                  <c:x val="1.7461315633390855E-2"/>
                  <c:y val="-0.133767682680301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7E-47AA-A61D-32FC728E2A89}"/>
                </c:ext>
              </c:extLst>
            </c:dLbl>
            <c:dLbl>
              <c:idx val="5"/>
              <c:layout>
                <c:manualLayout>
                  <c:x val="1.2713001352902861E-2"/>
                  <c:y val="-0.13114300403682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F7E-47AA-A61D-32FC728E2A89}"/>
                </c:ext>
              </c:extLst>
            </c:dLbl>
            <c:dLbl>
              <c:idx val="6"/>
              <c:layout>
                <c:manualLayout>
                  <c:x val="1.4214691840790198E-2"/>
                  <c:y val="-0.13114300403682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F7E-47AA-A61D-32FC728E2A89}"/>
                </c:ext>
              </c:extLst>
            </c:dLbl>
            <c:dLbl>
              <c:idx val="7"/>
              <c:layout>
                <c:manualLayout>
                  <c:x val="1.5716382328677544E-2"/>
                  <c:y val="-0.13114300403682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F7E-47AA-A61D-32FC728E2A89}"/>
                </c:ext>
              </c:extLst>
            </c:dLbl>
            <c:dLbl>
              <c:idx val="8"/>
              <c:layout>
                <c:manualLayout>
                  <c:x val="1.721807281656489E-2"/>
                  <c:y val="-0.13114300403682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F7E-47AA-A61D-32FC728E2A89}"/>
                </c:ext>
              </c:extLst>
            </c:dLbl>
            <c:dLbl>
              <c:idx val="9"/>
              <c:layout>
                <c:manualLayout>
                  <c:x val="1.8719763304452127E-2"/>
                  <c:y val="-0.11539493217599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F7E-47AA-A61D-32FC728E2A89}"/>
                </c:ext>
              </c:extLst>
            </c:dLbl>
            <c:dLbl>
              <c:idx val="10"/>
              <c:layout>
                <c:manualLayout>
                  <c:x val="2.3346456176527138E-2"/>
                  <c:y val="-0.12589364674988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F7E-47AA-A61D-32FC728E2A89}"/>
                </c:ext>
              </c:extLst>
            </c:dLbl>
            <c:dLbl>
              <c:idx val="11"/>
              <c:layout>
                <c:manualLayout>
                  <c:x val="2.4848146664415309E-2"/>
                  <c:y val="-0.120644289462941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F7E-47AA-A61D-32FC728E2A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'NATAGA-18'!$D$52:$K$52</c:f>
              <c:numCache>
                <c:formatCode>mmm\-yy</c:formatCode>
                <c:ptCount val="8"/>
                <c:pt idx="0">
                  <c:v>43101</c:v>
                </c:pt>
                <c:pt idx="1">
                  <c:v>43132</c:v>
                </c:pt>
                <c:pt idx="2">
                  <c:v>43163</c:v>
                </c:pt>
                <c:pt idx="3">
                  <c:v>43194</c:v>
                </c:pt>
                <c:pt idx="4">
                  <c:v>43225</c:v>
                </c:pt>
                <c:pt idx="5">
                  <c:v>43256</c:v>
                </c:pt>
                <c:pt idx="6">
                  <c:v>43287</c:v>
                </c:pt>
                <c:pt idx="7">
                  <c:v>43318</c:v>
                </c:pt>
              </c:numCache>
            </c:numRef>
          </c:cat>
          <c:val>
            <c:numRef>
              <c:f>'NATAGA-18'!$D$55:$K$55</c:f>
              <c:numCache>
                <c:formatCode>0%</c:formatCode>
                <c:ptCount val="8"/>
                <c:pt idx="0">
                  <c:v>0.9552058111380145</c:v>
                </c:pt>
                <c:pt idx="1">
                  <c:v>0.95536791314837155</c:v>
                </c:pt>
                <c:pt idx="2">
                  <c:v>0.95558223289315725</c:v>
                </c:pt>
                <c:pt idx="3">
                  <c:v>0.95558223289315725</c:v>
                </c:pt>
                <c:pt idx="4">
                  <c:v>0.95574162679425834</c:v>
                </c:pt>
                <c:pt idx="5">
                  <c:v>0.95574162679425834</c:v>
                </c:pt>
                <c:pt idx="6">
                  <c:v>0.95346062052505964</c:v>
                </c:pt>
                <c:pt idx="7">
                  <c:v>0.95579450418160095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AF7E-47AA-A61D-32FC728E2A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2911360"/>
        <c:axId val="182912896"/>
        <c:axId val="182884992"/>
      </c:bar3DChart>
      <c:dateAx>
        <c:axId val="1829113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2912896"/>
        <c:crosses val="autoZero"/>
        <c:auto val="1"/>
        <c:lblOffset val="100"/>
        <c:baseTimeUnit val="months"/>
        <c:majorUnit val="1"/>
        <c:minorUnit val="1"/>
      </c:dateAx>
      <c:valAx>
        <c:axId val="18291289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2911360"/>
        <c:crosses val="autoZero"/>
        <c:crossBetween val="between"/>
      </c:valAx>
      <c:serAx>
        <c:axId val="182884992"/>
        <c:scaling>
          <c:orientation val="minMax"/>
        </c:scaling>
        <c:delete val="1"/>
        <c:axPos val="b"/>
        <c:majorTickMark val="out"/>
        <c:minorTickMark val="none"/>
        <c:tickLblPos val="none"/>
        <c:crossAx val="182912896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3437598296283713E-2"/>
          <c:y val="0.90861618798955557"/>
          <c:w val="0.45625027716329181"/>
          <c:h val="7.3107049608355096E-2"/>
        </c:manualLayout>
      </c:layout>
      <c:overlay val="0"/>
      <c:txPr>
        <a:bodyPr/>
        <a:lstStyle/>
        <a:p>
          <a:pPr>
            <a:defRPr lang="es-ES" sz="59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 alignWithMargins="0"/>
    <c:pageMargins b="1" l="0.75000000000001465" r="0.75000000000001465" t="1" header="0" footer="0"/>
    <c:pageSetup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u="sng"/>
            </a:pPr>
            <a:r>
              <a:rPr lang="es-CO" sz="1200" u="sng"/>
              <a:t>INDICADORES </a:t>
            </a:r>
            <a:r>
              <a:rPr lang="es-CO" sz="1200" u="sng" baseline="0"/>
              <a:t> </a:t>
            </a:r>
            <a:r>
              <a:rPr lang="es-CO" sz="1200" u="sng"/>
              <a:t>FACTURACION Y RECAUDO </a:t>
            </a:r>
            <a:r>
              <a:rPr lang="es-CO" sz="1200" u="sng" baseline="0"/>
              <a:t> DEL CORRIENTE</a:t>
            </a:r>
          </a:p>
          <a:p>
            <a:pPr>
              <a:defRPr lang="es-ES" u="sng"/>
            </a:pPr>
            <a:r>
              <a:rPr lang="es-CO" sz="1200" u="sng" baseline="0"/>
              <a:t>NATAGA</a:t>
            </a:r>
          </a:p>
        </c:rich>
      </c:tx>
      <c:overlay val="0"/>
    </c:title>
    <c:autoTitleDeleted val="0"/>
    <c:view3D>
      <c:rotX val="90"/>
      <c:rotY val="24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330284333408372"/>
          <c:y val="0.19780296550243553"/>
          <c:w val="0.45372656397157257"/>
          <c:h val="0.6253593445652496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'NATAGA-18'!$B$43</c:f>
              <c:strCache>
                <c:ptCount val="1"/>
                <c:pt idx="0">
                  <c:v>Total Facturado Corriente</c:v>
                </c:pt>
              </c:strCache>
            </c:strRef>
          </c:tx>
          <c:spPr>
            <a:solidFill>
              <a:srgbClr val="7030A0"/>
            </a:solidFill>
            <a:ln w="6350">
              <a:noFill/>
            </a:ln>
            <a:effectLst>
              <a:innerShdw blurRad="63500" dist="50800" dir="13500000">
                <a:schemeClr val="accent2">
                  <a:lumMod val="60000"/>
                  <a:lumOff val="40000"/>
                  <a:alpha val="50000"/>
                </a:schemeClr>
              </a:innerShdw>
            </a:effectLst>
            <a:scene3d>
              <a:camera prst="orthographicFront"/>
              <a:lightRig rig="threePt" dir="t"/>
            </a:scene3d>
            <a:sp3d prstMaterial="dkEdge">
              <a:bevelT prst="angle"/>
              <a:bevelB w="139700" prst="cross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5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'NATAGA-18'!$D$42:$K$42</c:f>
              <c:numCache>
                <c:formatCode>mmm\-yy</c:formatCode>
                <c:ptCount val="8"/>
                <c:pt idx="0">
                  <c:v>43101</c:v>
                </c:pt>
                <c:pt idx="1">
                  <c:v>43132</c:v>
                </c:pt>
                <c:pt idx="2">
                  <c:v>43163</c:v>
                </c:pt>
                <c:pt idx="3">
                  <c:v>43194</c:v>
                </c:pt>
                <c:pt idx="4">
                  <c:v>43225</c:v>
                </c:pt>
                <c:pt idx="5">
                  <c:v>43256</c:v>
                </c:pt>
                <c:pt idx="6">
                  <c:v>43287</c:v>
                </c:pt>
                <c:pt idx="7">
                  <c:v>43318</c:v>
                </c:pt>
              </c:numCache>
            </c:numRef>
          </c:cat>
          <c:val>
            <c:numRef>
              <c:f>'NATAGA-18'!$D$43:$K$43</c:f>
              <c:numCache>
                <c:formatCode>_-* #,##0_-;\-* #,##0_-;_-* "-"??_-;_-@_-</c:formatCode>
                <c:ptCount val="8"/>
                <c:pt idx="0">
                  <c:v>19348314</c:v>
                </c:pt>
                <c:pt idx="1">
                  <c:v>13660532</c:v>
                </c:pt>
                <c:pt idx="2">
                  <c:v>13761654</c:v>
                </c:pt>
                <c:pt idx="3">
                  <c:v>15175100</c:v>
                </c:pt>
                <c:pt idx="4">
                  <c:v>14724400</c:v>
                </c:pt>
                <c:pt idx="5">
                  <c:v>14644400</c:v>
                </c:pt>
                <c:pt idx="6">
                  <c:v>15654615</c:v>
                </c:pt>
                <c:pt idx="7">
                  <c:v>14814585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18-4224-A23A-185B95992D72}"/>
            </c:ext>
          </c:extLst>
        </c:ser>
        <c:ser>
          <c:idx val="1"/>
          <c:order val="1"/>
          <c:tx>
            <c:strRef>
              <c:f>'NATAGA-18'!$B$44</c:f>
              <c:strCache>
                <c:ptCount val="1"/>
                <c:pt idx="0">
                  <c:v>Total Recaudado Corriente</c:v>
                </c:pt>
              </c:strCache>
            </c:strRef>
          </c:tx>
          <c:spPr>
            <a:solidFill>
              <a:srgbClr val="B91777"/>
            </a:solidFill>
            <a:ln w="12700" cmpd="sng">
              <a:noFill/>
            </a:ln>
            <a:effectLst>
              <a:innerShdw blurRad="63500" dist="50800" dir="10560000">
                <a:srgbClr val="7030A0">
                  <a:alpha val="50000"/>
                </a:srgbClr>
              </a:innerShdw>
            </a:effectLst>
            <a:scene3d>
              <a:camera prst="orthographicFront"/>
              <a:lightRig rig="threePt" dir="t"/>
            </a:scene3d>
            <a:sp3d prstMaterial="dkEdge">
              <a:bevelT prst="relaxedInset"/>
              <a:bevelB w="44450" h="508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5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'NATAGA-18'!$D$42:$K$42</c:f>
              <c:numCache>
                <c:formatCode>mmm\-yy</c:formatCode>
                <c:ptCount val="8"/>
                <c:pt idx="0">
                  <c:v>43101</c:v>
                </c:pt>
                <c:pt idx="1">
                  <c:v>43132</c:v>
                </c:pt>
                <c:pt idx="2">
                  <c:v>43163</c:v>
                </c:pt>
                <c:pt idx="3">
                  <c:v>43194</c:v>
                </c:pt>
                <c:pt idx="4">
                  <c:v>43225</c:v>
                </c:pt>
                <c:pt idx="5">
                  <c:v>43256</c:v>
                </c:pt>
                <c:pt idx="6">
                  <c:v>43287</c:v>
                </c:pt>
                <c:pt idx="7">
                  <c:v>43318</c:v>
                </c:pt>
              </c:numCache>
            </c:numRef>
          </c:cat>
          <c:val>
            <c:numRef>
              <c:f>'NATAGA-18'!$D$44:$K$44</c:f>
              <c:numCache>
                <c:formatCode>_-* #,##0_-;\-* #,##0_-;_-* "-"??_-;_-@_-</c:formatCode>
                <c:ptCount val="8"/>
                <c:pt idx="0">
                  <c:v>18248850</c:v>
                </c:pt>
                <c:pt idx="1">
                  <c:v>12735186</c:v>
                </c:pt>
                <c:pt idx="2">
                  <c:v>12793267</c:v>
                </c:pt>
                <c:pt idx="3">
                  <c:v>13683800</c:v>
                </c:pt>
                <c:pt idx="4">
                  <c:v>13362400</c:v>
                </c:pt>
                <c:pt idx="5">
                  <c:v>11040791</c:v>
                </c:pt>
                <c:pt idx="6">
                  <c:v>14138300</c:v>
                </c:pt>
                <c:pt idx="7">
                  <c:v>13006148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18-4224-A23A-185B95992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79140096"/>
        <c:axId val="179141632"/>
        <c:axId val="0"/>
      </c:bar3DChart>
      <c:dateAx>
        <c:axId val="17914009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lang="es-ES" b="1">
                <a:latin typeface="Tahoma" pitchFamily="34" charset="0"/>
                <a:ea typeface="Tahoma" pitchFamily="34" charset="0"/>
                <a:cs typeface="Tahoma" pitchFamily="34" charset="0"/>
              </a:defRPr>
            </a:pPr>
            <a:endParaRPr lang="es-CO"/>
          </a:p>
        </c:txPr>
        <c:crossAx val="179141632"/>
        <c:crosses val="autoZero"/>
        <c:auto val="1"/>
        <c:lblOffset val="100"/>
        <c:baseTimeUnit val="months"/>
      </c:dateAx>
      <c:valAx>
        <c:axId val="179141632"/>
        <c:scaling>
          <c:orientation val="minMax"/>
        </c:scaling>
        <c:delete val="0"/>
        <c:axPos val="l"/>
        <c:majorGridlines>
          <c:spPr>
            <a:ln>
              <a:solidFill>
                <a:srgbClr val="8064A2">
                  <a:lumMod val="75000"/>
                </a:srgbClr>
              </a:solidFill>
            </a:ln>
          </c:spPr>
        </c:majorGridlines>
        <c:numFmt formatCode="_-* #,##0_-;\-* #,##0_-;_-* &quot;-&quot;??_-;_-@_-" sourceLinked="1"/>
        <c:majorTickMark val="none"/>
        <c:minorTickMark val="none"/>
        <c:tickLblPos val="nextTo"/>
        <c:txPr>
          <a:bodyPr/>
          <a:lstStyle/>
          <a:p>
            <a:pPr>
              <a:defRPr lang="es-ES" b="1">
                <a:latin typeface="Tahoma" pitchFamily="34" charset="0"/>
                <a:ea typeface="Tahoma" pitchFamily="34" charset="0"/>
                <a:cs typeface="Tahoma" pitchFamily="34" charset="0"/>
              </a:defRPr>
            </a:pPr>
            <a:endParaRPr lang="es-CO"/>
          </a:p>
        </c:txPr>
        <c:crossAx val="179140096"/>
        <c:crosses val="autoZero"/>
        <c:crossBetween val="between"/>
      </c:valAx>
    </c:plotArea>
    <c:legend>
      <c:legendPos val="r"/>
      <c:overlay val="0"/>
      <c:spPr>
        <a:ln>
          <a:noFill/>
        </a:ln>
      </c:spPr>
      <c:txPr>
        <a:bodyPr/>
        <a:lstStyle/>
        <a:p>
          <a:pPr>
            <a:defRPr lang="es-ES" sz="1000" b="1">
              <a:latin typeface="Tahoma" pitchFamily="34" charset="0"/>
              <a:ea typeface="Tahoma" pitchFamily="34" charset="0"/>
              <a:cs typeface="Tahoma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gradFill>
      <a:gsLst>
        <a:gs pos="0">
          <a:srgbClr val="8064A2">
            <a:lumMod val="75000"/>
          </a:srgbClr>
        </a:gs>
        <a:gs pos="51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7200000" scaled="0"/>
    </a:gradFill>
    <a:ln cap="rnd" cmpd="sng">
      <a:solidFill>
        <a:srgbClr val="7030A0"/>
      </a:solidFill>
    </a:ln>
    <a:effectLst>
      <a:innerShdw blurRad="584200" dist="660400" dir="18600000">
        <a:srgbClr val="FFFF00">
          <a:alpha val="72000"/>
        </a:srgbClr>
      </a:innerShdw>
    </a:effectLst>
    <a:scene3d>
      <a:camera prst="orthographicFront"/>
      <a:lightRig rig="threePt" dir="t"/>
    </a:scene3d>
    <a:sp3d>
      <a:bevelT w="254000" prst="relaxedInset"/>
      <a:bevelB w="82550" h="222250" prst="angle"/>
    </a:sp3d>
  </c:spPr>
  <c:printSettings>
    <c:headerFooter/>
    <c:pageMargins b="0.7500000000000111" l="0.70000000000000062" r="0.70000000000000062" t="0.750000000000011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u="sng"/>
            </a:pPr>
            <a:r>
              <a:rPr lang="es-CO" sz="1200" u="sng"/>
              <a:t>INDICADORES FACTURACION Y RECAUDO DE LA DEUDA</a:t>
            </a:r>
          </a:p>
          <a:p>
            <a:pPr>
              <a:defRPr lang="es-ES" u="sng"/>
            </a:pPr>
            <a:r>
              <a:rPr lang="es-CO" sz="1200" u="sng"/>
              <a:t>NATAGA</a:t>
            </a:r>
          </a:p>
        </c:rich>
      </c:tx>
      <c:overlay val="0"/>
    </c:title>
    <c:autoTitleDeleted val="0"/>
    <c:view3D>
      <c:rotX val="90"/>
      <c:rotY val="24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'NATAGA-18'!$B$46</c:f>
              <c:strCache>
                <c:ptCount val="1"/>
                <c:pt idx="0">
                  <c:v>Total Facturado deuda</c:v>
                </c:pt>
              </c:strCache>
            </c:strRef>
          </c:tx>
          <c:spPr>
            <a:solidFill>
              <a:srgbClr val="7030A0"/>
            </a:solidFill>
            <a:ln w="6350">
              <a:noFill/>
            </a:ln>
            <a:effectLst>
              <a:innerShdw blurRad="63500" dist="50800" dir="13500000">
                <a:schemeClr val="accent2">
                  <a:lumMod val="60000"/>
                  <a:lumOff val="40000"/>
                  <a:alpha val="50000"/>
                </a:schemeClr>
              </a:innerShdw>
            </a:effectLst>
            <a:scene3d>
              <a:camera prst="orthographicFront"/>
              <a:lightRig rig="threePt" dir="t"/>
            </a:scene3d>
            <a:sp3d prstMaterial="dkEdge">
              <a:bevelT prst="angle"/>
              <a:bevelB w="139700" prst="cross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5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'NATAGA-18'!$D$45:$K$45</c:f>
              <c:numCache>
                <c:formatCode>mmm\-yy</c:formatCode>
                <c:ptCount val="8"/>
                <c:pt idx="0">
                  <c:v>43101</c:v>
                </c:pt>
                <c:pt idx="1">
                  <c:v>43132</c:v>
                </c:pt>
                <c:pt idx="2">
                  <c:v>43163</c:v>
                </c:pt>
                <c:pt idx="3">
                  <c:v>43194</c:v>
                </c:pt>
                <c:pt idx="4">
                  <c:v>43225</c:v>
                </c:pt>
                <c:pt idx="5">
                  <c:v>43256</c:v>
                </c:pt>
                <c:pt idx="6">
                  <c:v>43287</c:v>
                </c:pt>
                <c:pt idx="7">
                  <c:v>43318</c:v>
                </c:pt>
              </c:numCache>
            </c:numRef>
          </c:cat>
          <c:val>
            <c:numRef>
              <c:f>'NATAGA-18'!$D$46:$K$46</c:f>
              <c:numCache>
                <c:formatCode>_-* #,##0_-;\-* #,##0_-;_-* "-"??_-;_-@_-</c:formatCode>
                <c:ptCount val="8"/>
                <c:pt idx="0">
                  <c:v>1643350</c:v>
                </c:pt>
                <c:pt idx="1">
                  <c:v>2326514</c:v>
                </c:pt>
                <c:pt idx="2">
                  <c:v>2290446</c:v>
                </c:pt>
                <c:pt idx="3">
                  <c:v>2429250</c:v>
                </c:pt>
                <c:pt idx="4">
                  <c:v>3278800</c:v>
                </c:pt>
                <c:pt idx="5">
                  <c:v>3286550</c:v>
                </c:pt>
                <c:pt idx="6">
                  <c:v>3287650</c:v>
                </c:pt>
                <c:pt idx="7">
                  <c:v>3654815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A2-4DA6-BF57-78456156EC89}"/>
            </c:ext>
          </c:extLst>
        </c:ser>
        <c:ser>
          <c:idx val="1"/>
          <c:order val="1"/>
          <c:tx>
            <c:strRef>
              <c:f>'NATAGA-18'!$B$47</c:f>
              <c:strCache>
                <c:ptCount val="1"/>
                <c:pt idx="0">
                  <c:v>Total Recaudado deuda</c:v>
                </c:pt>
              </c:strCache>
            </c:strRef>
          </c:tx>
          <c:spPr>
            <a:solidFill>
              <a:srgbClr val="B91777"/>
            </a:solidFill>
            <a:ln w="12700" cmpd="sng">
              <a:noFill/>
            </a:ln>
            <a:effectLst>
              <a:innerShdw blurRad="63500" dist="50800" dir="10560000">
                <a:srgbClr val="7030A0">
                  <a:alpha val="50000"/>
                </a:srgbClr>
              </a:innerShdw>
            </a:effectLst>
            <a:scene3d>
              <a:camera prst="orthographicFront"/>
              <a:lightRig rig="threePt" dir="t"/>
            </a:scene3d>
            <a:sp3d prstMaterial="dkEdge">
              <a:bevelT prst="relaxedInset"/>
              <a:bevelB w="44450" h="508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5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'NATAGA-18'!$D$45:$K$45</c:f>
              <c:numCache>
                <c:formatCode>mmm\-yy</c:formatCode>
                <c:ptCount val="8"/>
                <c:pt idx="0">
                  <c:v>43101</c:v>
                </c:pt>
                <c:pt idx="1">
                  <c:v>43132</c:v>
                </c:pt>
                <c:pt idx="2">
                  <c:v>43163</c:v>
                </c:pt>
                <c:pt idx="3">
                  <c:v>43194</c:v>
                </c:pt>
                <c:pt idx="4">
                  <c:v>43225</c:v>
                </c:pt>
                <c:pt idx="5">
                  <c:v>43256</c:v>
                </c:pt>
                <c:pt idx="6">
                  <c:v>43287</c:v>
                </c:pt>
                <c:pt idx="7">
                  <c:v>43318</c:v>
                </c:pt>
              </c:numCache>
            </c:numRef>
          </c:cat>
          <c:val>
            <c:numRef>
              <c:f>'NATAGA-18'!$D$47:$K$47</c:f>
              <c:numCache>
                <c:formatCode>_-* #,##0_-;\-* #,##0_-;_-* "-"??_-;_-@_-</c:formatCode>
                <c:ptCount val="8"/>
                <c:pt idx="0">
                  <c:v>380250</c:v>
                </c:pt>
                <c:pt idx="1">
                  <c:v>997464</c:v>
                </c:pt>
                <c:pt idx="2">
                  <c:v>817083</c:v>
                </c:pt>
                <c:pt idx="3">
                  <c:v>654250</c:v>
                </c:pt>
                <c:pt idx="4">
                  <c:v>1354250</c:v>
                </c:pt>
                <c:pt idx="5">
                  <c:v>1150700</c:v>
                </c:pt>
                <c:pt idx="6">
                  <c:v>1149150</c:v>
                </c:pt>
                <c:pt idx="7">
                  <c:v>1676452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A2-4DA6-BF57-78456156E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4391552"/>
        <c:axId val="184393088"/>
        <c:axId val="0"/>
      </c:bar3DChart>
      <c:dateAx>
        <c:axId val="1843915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/>
          <a:lstStyle/>
          <a:p>
            <a:pPr>
              <a:defRPr lang="es-ES" b="1">
                <a:latin typeface="Tahoma" pitchFamily="34" charset="0"/>
                <a:ea typeface="Tahoma" pitchFamily="34" charset="0"/>
                <a:cs typeface="Tahoma" pitchFamily="34" charset="0"/>
              </a:defRPr>
            </a:pPr>
            <a:endParaRPr lang="es-CO"/>
          </a:p>
        </c:txPr>
        <c:crossAx val="184393088"/>
        <c:crosses val="autoZero"/>
        <c:auto val="1"/>
        <c:lblOffset val="100"/>
        <c:baseTimeUnit val="months"/>
      </c:dateAx>
      <c:valAx>
        <c:axId val="184393088"/>
        <c:scaling>
          <c:orientation val="minMax"/>
        </c:scaling>
        <c:delete val="0"/>
        <c:axPos val="l"/>
        <c:majorGridlines>
          <c:spPr>
            <a:ln>
              <a:solidFill>
                <a:srgbClr val="8064A2">
                  <a:lumMod val="75000"/>
                </a:srgbClr>
              </a:solidFill>
            </a:ln>
          </c:spPr>
        </c:majorGridlines>
        <c:numFmt formatCode="_-* #,##0_-;\-* #,##0_-;_-* &quot;-&quot;??_-;_-@_-" sourceLinked="1"/>
        <c:majorTickMark val="none"/>
        <c:minorTickMark val="none"/>
        <c:tickLblPos val="nextTo"/>
        <c:txPr>
          <a:bodyPr/>
          <a:lstStyle/>
          <a:p>
            <a:pPr>
              <a:defRPr lang="es-ES" b="1">
                <a:latin typeface="Tahoma" pitchFamily="34" charset="0"/>
                <a:ea typeface="Tahoma" pitchFamily="34" charset="0"/>
                <a:cs typeface="Tahoma" pitchFamily="34" charset="0"/>
              </a:defRPr>
            </a:pPr>
            <a:endParaRPr lang="es-CO"/>
          </a:p>
        </c:txPr>
        <c:crossAx val="184391552"/>
        <c:crosses val="autoZero"/>
        <c:crossBetween val="between"/>
      </c:valAx>
    </c:plotArea>
    <c:legend>
      <c:legendPos val="r"/>
      <c:overlay val="0"/>
      <c:spPr>
        <a:ln>
          <a:noFill/>
        </a:ln>
      </c:spPr>
      <c:txPr>
        <a:bodyPr/>
        <a:lstStyle/>
        <a:p>
          <a:pPr>
            <a:defRPr lang="es-ES" sz="1000" b="1">
              <a:latin typeface="Tahoma" pitchFamily="34" charset="0"/>
              <a:ea typeface="Tahoma" pitchFamily="34" charset="0"/>
              <a:cs typeface="Tahoma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gradFill>
      <a:gsLst>
        <a:gs pos="0">
          <a:srgbClr val="8064A2">
            <a:lumMod val="75000"/>
          </a:srgbClr>
        </a:gs>
        <a:gs pos="51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7200000" scaled="0"/>
    </a:gradFill>
    <a:ln cap="rnd" cmpd="sng">
      <a:solidFill>
        <a:srgbClr val="7030A0"/>
      </a:solidFill>
    </a:ln>
    <a:effectLst>
      <a:innerShdw blurRad="584200" dist="660400" dir="18600000">
        <a:srgbClr val="FFFF00">
          <a:alpha val="72000"/>
        </a:srgbClr>
      </a:innerShdw>
    </a:effectLst>
    <a:scene3d>
      <a:camera prst="orthographicFront"/>
      <a:lightRig rig="threePt" dir="t"/>
    </a:scene3d>
    <a:sp3d>
      <a:bevelT w="254000" prst="relaxedInset"/>
      <a:bevelB w="82550" h="222250" prst="angle"/>
    </a:sp3d>
  </c:sp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CO"/>
        </a:p>
      </c:txPr>
    </c:title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'NATAGA-18'!$B$57:$C$57</c:f>
              <c:strCache>
                <c:ptCount val="1"/>
                <c:pt idx="0">
                  <c:v>Índice de Agua No Contabilizada (%)</c:v>
                </c:pt>
              </c:strCache>
            </c:strRef>
          </c:tx>
          <c:invertIfNegative val="0"/>
          <c:cat>
            <c:numRef>
              <c:f>'NATAGA-18'!$D$52:$K$52</c:f>
              <c:numCache>
                <c:formatCode>mmm\-yy</c:formatCode>
                <c:ptCount val="8"/>
                <c:pt idx="0">
                  <c:v>43101</c:v>
                </c:pt>
                <c:pt idx="1">
                  <c:v>43132</c:v>
                </c:pt>
                <c:pt idx="2">
                  <c:v>43163</c:v>
                </c:pt>
                <c:pt idx="3">
                  <c:v>43194</c:v>
                </c:pt>
                <c:pt idx="4">
                  <c:v>43225</c:v>
                </c:pt>
                <c:pt idx="5">
                  <c:v>43256</c:v>
                </c:pt>
                <c:pt idx="6">
                  <c:v>43287</c:v>
                </c:pt>
                <c:pt idx="7">
                  <c:v>43318</c:v>
                </c:pt>
              </c:numCache>
            </c:numRef>
          </c:cat>
          <c:val>
            <c:numRef>
              <c:f>'NATAGA-18'!$D$57:$K$57</c:f>
              <c:numCache>
                <c:formatCode>0.00%</c:formatCode>
                <c:ptCount val="8"/>
                <c:pt idx="0">
                  <c:v>0.48459999999999998</c:v>
                </c:pt>
                <c:pt idx="1">
                  <c:v>0.5706</c:v>
                </c:pt>
                <c:pt idx="2">
                  <c:v>0.63859999999999995</c:v>
                </c:pt>
                <c:pt idx="3">
                  <c:v>0.43630000000000002</c:v>
                </c:pt>
                <c:pt idx="4">
                  <c:v>0.52800000000000002</c:v>
                </c:pt>
                <c:pt idx="5">
                  <c:v>0.54479999999999995</c:v>
                </c:pt>
                <c:pt idx="6">
                  <c:v>0.496</c:v>
                </c:pt>
                <c:pt idx="7">
                  <c:v>0.54710000000000003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C-485F-8598-E77E4B6BB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4410496"/>
        <c:axId val="184412032"/>
        <c:axId val="0"/>
      </c:bar3DChart>
      <c:dateAx>
        <c:axId val="18441049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184412032"/>
        <c:crosses val="autoZero"/>
        <c:auto val="1"/>
        <c:lblOffset val="100"/>
        <c:baseTimeUnit val="months"/>
      </c:dateAx>
      <c:valAx>
        <c:axId val="18441203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1844104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CO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'02'!$A$16</c:f>
              <c:strCache>
                <c:ptCount val="1"/>
                <c:pt idx="0">
                  <c:v>META  AÑO 2018</c:v>
                </c:pt>
              </c:strCache>
            </c:strRef>
          </c:tx>
          <c:marker>
            <c:symbol val="none"/>
          </c:marker>
          <c:cat>
            <c:strRef>
              <c:f>'02'!$C$14:$N$14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'02'!$C$16:$N$16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A58-408E-B34E-D07EAE578808}"/>
            </c:ext>
          </c:extLst>
        </c:ser>
        <c:ser>
          <c:idx val="1"/>
          <c:order val="1"/>
          <c:tx>
            <c:strRef>
              <c:f>'02'!$A$17</c:f>
              <c:strCache>
                <c:ptCount val="1"/>
                <c:pt idx="0">
                  <c:v>RESULTADOS DE LA VIGENCIA</c:v>
                </c:pt>
              </c:strCache>
            </c:strRef>
          </c:tx>
          <c:marker>
            <c:symbol val="none"/>
          </c:marker>
          <c:cat>
            <c:strRef>
              <c:f>'02'!$C$14:$N$14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'02'!$C$17:$N$17</c:f>
              <c:numCache>
                <c:formatCode>0.0%</c:formatCode>
                <c:ptCount val="12"/>
                <c:pt idx="0">
                  <c:v>0.88745227629405654</c:v>
                </c:pt>
                <c:pt idx="1">
                  <c:v>0.85898608160632051</c:v>
                </c:pt>
                <c:pt idx="2">
                  <c:v>0.84788594638707704</c:v>
                </c:pt>
                <c:pt idx="3">
                  <c:v>0.81446063046917383</c:v>
                </c:pt>
                <c:pt idx="4">
                  <c:v>0.81744634287237827</c:v>
                </c:pt>
                <c:pt idx="5">
                  <c:v>0.81664942459825052</c:v>
                </c:pt>
                <c:pt idx="6">
                  <c:v>0.80705501691587567</c:v>
                </c:pt>
                <c:pt idx="7">
                  <c:v>0.79496897571117631</c:v>
                </c:pt>
                <c:pt idx="8">
                  <c:v>0.8567744785553395</c:v>
                </c:pt>
                <c:pt idx="9">
                  <c:v>0.7935015857826776</c:v>
                </c:pt>
                <c:pt idx="10">
                  <c:v>0.80446872087813004</c:v>
                </c:pt>
                <c:pt idx="11">
                  <c:v>0.80681658407531642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A58-408E-B34E-D07EAE578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51456"/>
        <c:axId val="131652992"/>
      </c:lineChart>
      <c:catAx>
        <c:axId val="131651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lang="es-ES"/>
            </a:pPr>
            <a:endParaRPr lang="es-CO"/>
          </a:p>
        </c:txPr>
        <c:crossAx val="131652992"/>
        <c:crosses val="autoZero"/>
        <c:auto val="1"/>
        <c:lblAlgn val="ctr"/>
        <c:lblOffset val="100"/>
        <c:noMultiLvlLbl val="0"/>
      </c:catAx>
      <c:valAx>
        <c:axId val="1316529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1316514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000000000000966" l="0.70000000000000062" r="0.70000000000000062" t="0.75000000000000966" header="0.30000000000000032" footer="0.30000000000000032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'03'!$A$16</c:f>
              <c:strCache>
                <c:ptCount val="1"/>
                <c:pt idx="0">
                  <c:v>META  AÑO 2018</c:v>
                </c:pt>
              </c:strCache>
            </c:strRef>
          </c:tx>
          <c:marker>
            <c:symbol val="none"/>
          </c:marker>
          <c:cat>
            <c:strRef>
              <c:f>'03'!$C$14:$N$14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'03'!$C$16:$N$16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2F7-4907-B4A0-4DF895CBDF5A}"/>
            </c:ext>
          </c:extLst>
        </c:ser>
        <c:ser>
          <c:idx val="1"/>
          <c:order val="1"/>
          <c:tx>
            <c:strRef>
              <c:f>'03'!$A$17</c:f>
              <c:strCache>
                <c:ptCount val="1"/>
                <c:pt idx="0">
                  <c:v>RESULTADOS DE LA VIGENCIA</c:v>
                </c:pt>
              </c:strCache>
            </c:strRef>
          </c:tx>
          <c:marker>
            <c:symbol val="none"/>
          </c:marker>
          <c:cat>
            <c:strRef>
              <c:f>'03'!$C$14:$N$14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'03'!$C$17:$N$17</c:f>
              <c:numCache>
                <c:formatCode>#,##0</c:formatCode>
                <c:ptCount val="12"/>
                <c:pt idx="0">
                  <c:v>3.6632091044211914</c:v>
                </c:pt>
                <c:pt idx="1">
                  <c:v>4.0978033585300135</c:v>
                </c:pt>
                <c:pt idx="2">
                  <c:v>4.6986348232325934</c:v>
                </c:pt>
                <c:pt idx="3">
                  <c:v>6.327422770947412</c:v>
                </c:pt>
                <c:pt idx="4">
                  <c:v>6.4299269596974051</c:v>
                </c:pt>
                <c:pt idx="5">
                  <c:v>6.48065365375012</c:v>
                </c:pt>
                <c:pt idx="6">
                  <c:v>7.5167495933284982</c:v>
                </c:pt>
                <c:pt idx="7">
                  <c:v>7.7736246916662015</c:v>
                </c:pt>
                <c:pt idx="8">
                  <c:v>5.6541025576031023</c:v>
                </c:pt>
                <c:pt idx="9">
                  <c:v>7.3436687054096863</c:v>
                </c:pt>
                <c:pt idx="10">
                  <c:v>7.0398181544439575</c:v>
                </c:pt>
                <c:pt idx="11">
                  <c:v>6.8040223920931036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2F7-4907-B4A0-4DF895CBD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3936"/>
        <c:axId val="131705472"/>
      </c:lineChart>
      <c:catAx>
        <c:axId val="131703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lang="es-ES"/>
            </a:pPr>
            <a:endParaRPr lang="es-CO"/>
          </a:p>
        </c:txPr>
        <c:crossAx val="131705472"/>
        <c:crosses val="autoZero"/>
        <c:auto val="1"/>
        <c:lblAlgn val="ctr"/>
        <c:lblOffset val="100"/>
        <c:noMultiLvlLbl val="0"/>
      </c:catAx>
      <c:valAx>
        <c:axId val="1317054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1317039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000000000000988" l="0.70000000000000062" r="0.70000000000000062" t="0.75000000000000988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'04'!$A$16</c:f>
              <c:strCache>
                <c:ptCount val="1"/>
                <c:pt idx="0">
                  <c:v>META  AÑO 2018</c:v>
                </c:pt>
              </c:strCache>
            </c:strRef>
          </c:tx>
          <c:marker>
            <c:symbol val="none"/>
          </c:marker>
          <c:cat>
            <c:strRef>
              <c:f>'04'!$C$14:$N$14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'04'!$C$16:$N$16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73-49E0-9510-C89AE91FCD92}"/>
            </c:ext>
          </c:extLst>
        </c:ser>
        <c:ser>
          <c:idx val="1"/>
          <c:order val="1"/>
          <c:tx>
            <c:strRef>
              <c:f>'04'!$A$17</c:f>
              <c:strCache>
                <c:ptCount val="1"/>
                <c:pt idx="0">
                  <c:v>RESULTADOS DE LA VIGENCIA</c:v>
                </c:pt>
              </c:strCache>
            </c:strRef>
          </c:tx>
          <c:marker>
            <c:symbol val="none"/>
          </c:marker>
          <c:cat>
            <c:strRef>
              <c:f>'04'!$C$14:$N$14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'04'!$C$17:$N$17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73-49E0-9510-C89AE91FC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052928"/>
        <c:axId val="179054464"/>
      </c:lineChart>
      <c:catAx>
        <c:axId val="179052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lang="es-ES"/>
            </a:pPr>
            <a:endParaRPr lang="es-CO"/>
          </a:p>
        </c:txPr>
        <c:crossAx val="179054464"/>
        <c:crosses val="autoZero"/>
        <c:auto val="1"/>
        <c:lblAlgn val="ctr"/>
        <c:lblOffset val="100"/>
        <c:noMultiLvlLbl val="0"/>
      </c:catAx>
      <c:valAx>
        <c:axId val="1790544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1790529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000000000000988" l="0.70000000000000062" r="0.70000000000000062" t="0.75000000000000988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'05'!$A$16</c:f>
              <c:strCache>
                <c:ptCount val="1"/>
                <c:pt idx="0">
                  <c:v>META  AÑO 2018</c:v>
                </c:pt>
              </c:strCache>
            </c:strRef>
          </c:tx>
          <c:marker>
            <c:symbol val="none"/>
          </c:marker>
          <c:cat>
            <c:strRef>
              <c:f>'05'!$C$14:$N$14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'05'!$C$16:$N$16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ED-4561-A343-8878C54379B7}"/>
            </c:ext>
          </c:extLst>
        </c:ser>
        <c:ser>
          <c:idx val="1"/>
          <c:order val="1"/>
          <c:tx>
            <c:strRef>
              <c:f>'05'!$A$17</c:f>
              <c:strCache>
                <c:ptCount val="1"/>
                <c:pt idx="0">
                  <c:v>RESULTADOS DE LA VIGENCIA</c:v>
                </c:pt>
              </c:strCache>
            </c:strRef>
          </c:tx>
          <c:marker>
            <c:symbol val="none"/>
          </c:marker>
          <c:cat>
            <c:strRef>
              <c:f>'05'!$C$14:$N$14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'05'!$C$17:$N$17</c:f>
              <c:numCache>
                <c:formatCode>0.0%</c:formatCode>
                <c:ptCount val="12"/>
                <c:pt idx="0">
                  <c:v>0.9842615012106537</c:v>
                </c:pt>
                <c:pt idx="1">
                  <c:v>0.9843184559710495</c:v>
                </c:pt>
                <c:pt idx="2">
                  <c:v>0.98439375750300118</c:v>
                </c:pt>
                <c:pt idx="3">
                  <c:v>0.98439375750300118</c:v>
                </c:pt>
                <c:pt idx="4">
                  <c:v>0.98444976076555024</c:v>
                </c:pt>
                <c:pt idx="5">
                  <c:v>0.98444976076555024</c:v>
                </c:pt>
                <c:pt idx="6">
                  <c:v>0.98448687350835318</c:v>
                </c:pt>
                <c:pt idx="7">
                  <c:v>0.98446833930704902</c:v>
                </c:pt>
                <c:pt idx="8">
                  <c:v>0.98450536352800955</c:v>
                </c:pt>
                <c:pt idx="9">
                  <c:v>0.98452380952380958</c:v>
                </c:pt>
                <c:pt idx="10">
                  <c:v>0.98454221165279432</c:v>
                </c:pt>
                <c:pt idx="11">
                  <c:v>0.98452380952380958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ED-4561-A343-8878C5437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092480"/>
        <c:axId val="179102464"/>
      </c:lineChart>
      <c:catAx>
        <c:axId val="179092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lang="es-ES"/>
            </a:pPr>
            <a:endParaRPr lang="es-CO"/>
          </a:p>
        </c:txPr>
        <c:crossAx val="179102464"/>
        <c:crosses val="autoZero"/>
        <c:auto val="1"/>
        <c:lblAlgn val="ctr"/>
        <c:lblOffset val="100"/>
        <c:noMultiLvlLbl val="0"/>
      </c:catAx>
      <c:valAx>
        <c:axId val="1791024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1790924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00000000000101" l="0.70000000000000062" r="0.70000000000000062" t="0.7500000000000101" header="0.30000000000000032" footer="0.30000000000000032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'06'!$A$16</c:f>
              <c:strCache>
                <c:ptCount val="1"/>
                <c:pt idx="0">
                  <c:v>META  AÑO 2018</c:v>
                </c:pt>
              </c:strCache>
            </c:strRef>
          </c:tx>
          <c:marker>
            <c:symbol val="none"/>
          </c:marker>
          <c:cat>
            <c:strRef>
              <c:f>'06'!$C$14:$N$14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'06'!$C$16:$N$16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59-48E1-B1D8-C7F1EADD3A82}"/>
            </c:ext>
          </c:extLst>
        </c:ser>
        <c:ser>
          <c:idx val="1"/>
          <c:order val="1"/>
          <c:tx>
            <c:strRef>
              <c:f>'06'!$A$17</c:f>
              <c:strCache>
                <c:ptCount val="1"/>
                <c:pt idx="0">
                  <c:v>RESULTADOS DE LA VIGENCIA</c:v>
                </c:pt>
              </c:strCache>
            </c:strRef>
          </c:tx>
          <c:marker>
            <c:symbol val="none"/>
          </c:marker>
          <c:cat>
            <c:strRef>
              <c:f>'06'!$C$14:$N$14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'06'!$C$17:$N$17</c:f>
              <c:numCache>
                <c:formatCode>0.0%</c:formatCode>
                <c:ptCount val="12"/>
                <c:pt idx="0">
                  <c:v>0.95278450363196121</c:v>
                </c:pt>
                <c:pt idx="1">
                  <c:v>0.95295536791314839</c:v>
                </c:pt>
                <c:pt idx="2">
                  <c:v>0.95318127250900364</c:v>
                </c:pt>
                <c:pt idx="3">
                  <c:v>0.95318127250900364</c:v>
                </c:pt>
                <c:pt idx="4">
                  <c:v>0.95334928229665072</c:v>
                </c:pt>
                <c:pt idx="5">
                  <c:v>0.95334928229665072</c:v>
                </c:pt>
                <c:pt idx="6">
                  <c:v>0.95226730310262531</c:v>
                </c:pt>
                <c:pt idx="7">
                  <c:v>0.95459976105137401</c:v>
                </c:pt>
                <c:pt idx="8">
                  <c:v>0.95470798569725868</c:v>
                </c:pt>
                <c:pt idx="9">
                  <c:v>0.95476190476190481</c:v>
                </c:pt>
                <c:pt idx="10">
                  <c:v>0.95481569560047563</c:v>
                </c:pt>
                <c:pt idx="11">
                  <c:v>0.95476190476190481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59-48E1-B1D8-C7F1EADD3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713728"/>
        <c:axId val="180715520"/>
      </c:lineChart>
      <c:catAx>
        <c:axId val="180713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lang="es-ES"/>
            </a:pPr>
            <a:endParaRPr lang="es-CO"/>
          </a:p>
        </c:txPr>
        <c:crossAx val="180715520"/>
        <c:crosses val="autoZero"/>
        <c:auto val="1"/>
        <c:lblAlgn val="ctr"/>
        <c:lblOffset val="100"/>
        <c:noMultiLvlLbl val="0"/>
      </c:catAx>
      <c:valAx>
        <c:axId val="1807155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1807137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000000000000944" l="0.70000000000000062" r="0.70000000000000062" t="0.75000000000000944" header="0.30000000000000032" footer="0.30000000000000032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'07'!$A$16</c:f>
              <c:strCache>
                <c:ptCount val="1"/>
                <c:pt idx="0">
                  <c:v>META  AÑO 2018</c:v>
                </c:pt>
              </c:strCache>
            </c:strRef>
          </c:tx>
          <c:marker>
            <c:symbol val="none"/>
          </c:marker>
          <c:cat>
            <c:strRef>
              <c:f>'07'!$C$14:$N$14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'07'!$C$16:$N$16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26-421C-A31B-33702E98D9BD}"/>
            </c:ext>
          </c:extLst>
        </c:ser>
        <c:ser>
          <c:idx val="1"/>
          <c:order val="1"/>
          <c:tx>
            <c:strRef>
              <c:f>'07'!$A$17</c:f>
              <c:strCache>
                <c:ptCount val="1"/>
                <c:pt idx="0">
                  <c:v>RESULTADOS DE LA VIGENCIA</c:v>
                </c:pt>
              </c:strCache>
            </c:strRef>
          </c:tx>
          <c:marker>
            <c:symbol val="none"/>
          </c:marker>
          <c:cat>
            <c:strRef>
              <c:f>'07'!$C$14:$N$14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'07'!$C$17:$N$17</c:f>
              <c:numCache>
                <c:formatCode>0.0%</c:formatCode>
                <c:ptCount val="12"/>
                <c:pt idx="0">
                  <c:v>0.9552058111380145</c:v>
                </c:pt>
                <c:pt idx="1">
                  <c:v>0.95536791314837144</c:v>
                </c:pt>
                <c:pt idx="2">
                  <c:v>0.95558223289315714</c:v>
                </c:pt>
                <c:pt idx="3">
                  <c:v>0.95558223289315725</c:v>
                </c:pt>
                <c:pt idx="4">
                  <c:v>0.95574162679425834</c:v>
                </c:pt>
                <c:pt idx="5">
                  <c:v>0.95574162679425823</c:v>
                </c:pt>
                <c:pt idx="6">
                  <c:v>0.95346062052505953</c:v>
                </c:pt>
                <c:pt idx="7">
                  <c:v>0.95579450418160095</c:v>
                </c:pt>
                <c:pt idx="8">
                  <c:v>0.95589988081048871</c:v>
                </c:pt>
                <c:pt idx="9">
                  <c:v>0.955952380952381</c:v>
                </c:pt>
                <c:pt idx="10">
                  <c:v>0.95600475624256842</c:v>
                </c:pt>
                <c:pt idx="11">
                  <c:v>0.955952380952381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26-421C-A31B-33702E98D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856320"/>
        <c:axId val="180857856"/>
      </c:lineChart>
      <c:catAx>
        <c:axId val="18085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lang="es-ES"/>
            </a:pPr>
            <a:endParaRPr lang="es-CO"/>
          </a:p>
        </c:txPr>
        <c:crossAx val="180857856"/>
        <c:crosses val="autoZero"/>
        <c:auto val="1"/>
        <c:lblAlgn val="ctr"/>
        <c:lblOffset val="100"/>
        <c:noMultiLvlLbl val="0"/>
      </c:catAx>
      <c:valAx>
        <c:axId val="1808578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1808563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000000000000988" l="0.70000000000000062" r="0.70000000000000062" t="0.75000000000000988" header="0.30000000000000032" footer="0.30000000000000032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'08'!$A$16</c:f>
              <c:strCache>
                <c:ptCount val="1"/>
                <c:pt idx="0">
                  <c:v>META  AÑO 2018</c:v>
                </c:pt>
              </c:strCache>
            </c:strRef>
          </c:tx>
          <c:marker>
            <c:symbol val="none"/>
          </c:marker>
          <c:cat>
            <c:strRef>
              <c:f>'08'!$C$14:$N$14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'08'!$C$16:$N$16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84-4FD2-94DB-61A8303CFA4B}"/>
            </c:ext>
          </c:extLst>
        </c:ser>
        <c:ser>
          <c:idx val="1"/>
          <c:order val="1"/>
          <c:tx>
            <c:strRef>
              <c:f>'08'!$A$17</c:f>
              <c:strCache>
                <c:ptCount val="1"/>
                <c:pt idx="0">
                  <c:v>RESULTADOS DE LA VIGENCIA</c:v>
                </c:pt>
              </c:strCache>
            </c:strRef>
          </c:tx>
          <c:marker>
            <c:symbol val="none"/>
          </c:marker>
          <c:cat>
            <c:strRef>
              <c:f>'08'!$C$14:$N$14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'08'!$C$17:$N$17</c:f>
              <c:numCache>
                <c:formatCode>0.0%</c:formatCode>
                <c:ptCount val="12"/>
                <c:pt idx="0">
                  <c:v>0.95325953259532592</c:v>
                </c:pt>
                <c:pt idx="1">
                  <c:v>0.94362745098039214</c:v>
                </c:pt>
                <c:pt idx="2">
                  <c:v>0.95243902439024386</c:v>
                </c:pt>
                <c:pt idx="3">
                  <c:v>0.95121951219512191</c:v>
                </c:pt>
                <c:pt idx="4">
                  <c:v>0.93438639125151879</c:v>
                </c:pt>
                <c:pt idx="5">
                  <c:v>0.9404617253948967</c:v>
                </c:pt>
                <c:pt idx="6">
                  <c:v>0.943030303030303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B84-4FD2-94DB-61A8303CF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109504"/>
        <c:axId val="181111040"/>
      </c:lineChart>
      <c:catAx>
        <c:axId val="181109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lang="es-ES"/>
            </a:pPr>
            <a:endParaRPr lang="es-CO"/>
          </a:p>
        </c:txPr>
        <c:crossAx val="181111040"/>
        <c:crosses val="autoZero"/>
        <c:auto val="1"/>
        <c:lblAlgn val="ctr"/>
        <c:lblOffset val="100"/>
        <c:noMultiLvlLbl val="0"/>
      </c:catAx>
      <c:valAx>
        <c:axId val="1811110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1811095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00000000000101" l="0.70000000000000062" r="0.70000000000000062" t="0.7500000000000101" header="0.30000000000000032" footer="0.30000000000000032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'09'!$A$16</c:f>
              <c:strCache>
                <c:ptCount val="1"/>
                <c:pt idx="0">
                  <c:v>META  AÑO 2018</c:v>
                </c:pt>
              </c:strCache>
            </c:strRef>
          </c:tx>
          <c:marker>
            <c:symbol val="none"/>
          </c:marker>
          <c:cat>
            <c:strRef>
              <c:f>'09'!$C$14:$N$14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'09'!$C$16:$N$16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EFC-41D8-B035-269A6B1AFDE8}"/>
            </c:ext>
          </c:extLst>
        </c:ser>
        <c:ser>
          <c:idx val="1"/>
          <c:order val="1"/>
          <c:tx>
            <c:strRef>
              <c:f>'09'!$A$17</c:f>
              <c:strCache>
                <c:ptCount val="1"/>
                <c:pt idx="0">
                  <c:v>RESULTADOS DE LA VIGENCIA</c:v>
                </c:pt>
              </c:strCache>
            </c:strRef>
          </c:tx>
          <c:marker>
            <c:symbol val="none"/>
          </c:marker>
          <c:cat>
            <c:strRef>
              <c:f>'09'!$C$14:$N$14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'09'!$C$17:$N$17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EFC-41D8-B035-269A6B1AF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895296"/>
        <c:axId val="131896832"/>
      </c:lineChart>
      <c:catAx>
        <c:axId val="131895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lang="es-ES"/>
            </a:pPr>
            <a:endParaRPr lang="es-CO"/>
          </a:p>
        </c:txPr>
        <c:crossAx val="131896832"/>
        <c:crosses val="autoZero"/>
        <c:auto val="1"/>
        <c:lblAlgn val="ctr"/>
        <c:lblOffset val="100"/>
        <c:noMultiLvlLbl val="0"/>
      </c:catAx>
      <c:valAx>
        <c:axId val="1318968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O"/>
          </a:p>
        </c:txPr>
        <c:crossAx val="1318952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000000000000944" l="0.70000000000000062" r="0.70000000000000062" t="0.75000000000000944" header="0.30000000000000032" footer="0.30000000000000032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800100</xdr:colOff>
      <xdr:row>0</xdr:row>
      <xdr:rowOff>57150</xdr:rowOff>
    </xdr:from>
    <xdr:to>
      <xdr:col>2</xdr:col>
      <xdr:colOff>495300</xdr:colOff>
      <xdr:row>1</xdr:row>
      <xdr:rowOff>114300</xdr:rowOff>
    </xdr:to>
    <xdr:pic>
      <xdr:nvPicPr>
        <xdr:cNvPr id="1030" name="Picture 6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57150"/>
          <a:ext cx="94297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24</xdr:row>
      <xdr:rowOff>171450</xdr:rowOff>
    </xdr:from>
    <xdr:to>
      <xdr:col>13</xdr:col>
      <xdr:colOff>276225</xdr:colOff>
      <xdr:row>24</xdr:row>
      <xdr:rowOff>3076575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438150</xdr:colOff>
      <xdr:row>0</xdr:row>
      <xdr:rowOff>38100</xdr:rowOff>
    </xdr:from>
    <xdr:to>
      <xdr:col>1</xdr:col>
      <xdr:colOff>1314450</xdr:colOff>
      <xdr:row>1</xdr:row>
      <xdr:rowOff>123825</xdr:rowOff>
    </xdr:to>
    <xdr:pic>
      <xdr:nvPicPr>
        <xdr:cNvPr id="12291" name="Picture 3">
          <a:extLst>
            <a:ext uri="{FF2B5EF4-FFF2-40B4-BE49-F238E27FC236}">
              <a16:creationId xmlns="" xmlns:a16="http://schemas.microsoft.com/office/drawing/2014/main" id="{00000000-0008-0000-0900-00000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8100"/>
          <a:ext cx="8763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24</xdr:row>
      <xdr:rowOff>171450</xdr:rowOff>
    </xdr:from>
    <xdr:to>
      <xdr:col>13</xdr:col>
      <xdr:colOff>276225</xdr:colOff>
      <xdr:row>24</xdr:row>
      <xdr:rowOff>3076575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438150</xdr:colOff>
      <xdr:row>0</xdr:row>
      <xdr:rowOff>38100</xdr:rowOff>
    </xdr:from>
    <xdr:to>
      <xdr:col>1</xdr:col>
      <xdr:colOff>1314450</xdr:colOff>
      <xdr:row>1</xdr:row>
      <xdr:rowOff>123825</xdr:rowOff>
    </xdr:to>
    <xdr:pic>
      <xdr:nvPicPr>
        <xdr:cNvPr id="13314" name="Picture 2">
          <a:extLst>
            <a:ext uri="{FF2B5EF4-FFF2-40B4-BE49-F238E27FC236}">
              <a16:creationId xmlns="" xmlns:a16="http://schemas.microsoft.com/office/drawing/2014/main" id="{00000000-0008-0000-0A00-000002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8100"/>
          <a:ext cx="8763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24</xdr:row>
      <xdr:rowOff>171450</xdr:rowOff>
    </xdr:from>
    <xdr:to>
      <xdr:col>13</xdr:col>
      <xdr:colOff>276225</xdr:colOff>
      <xdr:row>24</xdr:row>
      <xdr:rowOff>3076575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438150</xdr:colOff>
      <xdr:row>0</xdr:row>
      <xdr:rowOff>38100</xdr:rowOff>
    </xdr:from>
    <xdr:to>
      <xdr:col>1</xdr:col>
      <xdr:colOff>1314450</xdr:colOff>
      <xdr:row>1</xdr:row>
      <xdr:rowOff>123825</xdr:rowOff>
    </xdr:to>
    <xdr:pic>
      <xdr:nvPicPr>
        <xdr:cNvPr id="14338" name="Picture 2">
          <a:extLst>
            <a:ext uri="{FF2B5EF4-FFF2-40B4-BE49-F238E27FC236}">
              <a16:creationId xmlns="" xmlns:a16="http://schemas.microsoft.com/office/drawing/2014/main" id="{00000000-0008-0000-0B00-000002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8100"/>
          <a:ext cx="8763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24</xdr:row>
      <xdr:rowOff>171450</xdr:rowOff>
    </xdr:from>
    <xdr:to>
      <xdr:col>13</xdr:col>
      <xdr:colOff>276225</xdr:colOff>
      <xdr:row>24</xdr:row>
      <xdr:rowOff>3076575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438150</xdr:colOff>
      <xdr:row>0</xdr:row>
      <xdr:rowOff>38100</xdr:rowOff>
    </xdr:from>
    <xdr:to>
      <xdr:col>1</xdr:col>
      <xdr:colOff>1314450</xdr:colOff>
      <xdr:row>1</xdr:row>
      <xdr:rowOff>123825</xdr:rowOff>
    </xdr:to>
    <xdr:pic>
      <xdr:nvPicPr>
        <xdr:cNvPr id="15362" name="Picture 2">
          <a:extLst>
            <a:ext uri="{FF2B5EF4-FFF2-40B4-BE49-F238E27FC236}">
              <a16:creationId xmlns="" xmlns:a16="http://schemas.microsoft.com/office/drawing/2014/main" id="{00000000-0008-0000-0C00-000002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8100"/>
          <a:ext cx="8763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24</xdr:row>
      <xdr:rowOff>171450</xdr:rowOff>
    </xdr:from>
    <xdr:to>
      <xdr:col>13</xdr:col>
      <xdr:colOff>276225</xdr:colOff>
      <xdr:row>24</xdr:row>
      <xdr:rowOff>3076575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438150</xdr:colOff>
      <xdr:row>0</xdr:row>
      <xdr:rowOff>38100</xdr:rowOff>
    </xdr:from>
    <xdr:to>
      <xdr:col>1</xdr:col>
      <xdr:colOff>1314450</xdr:colOff>
      <xdr:row>1</xdr:row>
      <xdr:rowOff>123825</xdr:rowOff>
    </xdr:to>
    <xdr:pic>
      <xdr:nvPicPr>
        <xdr:cNvPr id="19458" name="Picture 2">
          <a:extLst>
            <a:ext uri="{FF2B5EF4-FFF2-40B4-BE49-F238E27FC236}">
              <a16:creationId xmlns="" xmlns:a16="http://schemas.microsoft.com/office/drawing/2014/main" id="{00000000-0008-0000-0D00-000002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8100"/>
          <a:ext cx="8763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24</xdr:row>
      <xdr:rowOff>171450</xdr:rowOff>
    </xdr:from>
    <xdr:to>
      <xdr:col>13</xdr:col>
      <xdr:colOff>276225</xdr:colOff>
      <xdr:row>24</xdr:row>
      <xdr:rowOff>3076575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438150</xdr:colOff>
      <xdr:row>0</xdr:row>
      <xdr:rowOff>38100</xdr:rowOff>
    </xdr:from>
    <xdr:to>
      <xdr:col>1</xdr:col>
      <xdr:colOff>1314450</xdr:colOff>
      <xdr:row>1</xdr:row>
      <xdr:rowOff>123825</xdr:rowOff>
    </xdr:to>
    <xdr:pic>
      <xdr:nvPicPr>
        <xdr:cNvPr id="16386" name="Picture 2">
          <a:extLst>
            <a:ext uri="{FF2B5EF4-FFF2-40B4-BE49-F238E27FC236}">
              <a16:creationId xmlns="" xmlns:a16="http://schemas.microsoft.com/office/drawing/2014/main" id="{00000000-0008-0000-0E00-000002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8100"/>
          <a:ext cx="8763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71</xdr:row>
      <xdr:rowOff>114300</xdr:rowOff>
    </xdr:from>
    <xdr:to>
      <xdr:col>4</xdr:col>
      <xdr:colOff>361949</xdr:colOff>
      <xdr:row>95</xdr:row>
      <xdr:rowOff>38100</xdr:rowOff>
    </xdr:to>
    <xdr:graphicFrame macro="">
      <xdr:nvGraphicFramePr>
        <xdr:cNvPr id="2" name="Chart 28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218659</xdr:colOff>
      <xdr:row>98</xdr:row>
      <xdr:rowOff>106018</xdr:rowOff>
    </xdr:from>
    <xdr:to>
      <xdr:col>5</xdr:col>
      <xdr:colOff>171450</xdr:colOff>
      <xdr:row>124</xdr:row>
      <xdr:rowOff>19050</xdr:rowOff>
    </xdr:to>
    <xdr:graphicFrame macro="">
      <xdr:nvGraphicFramePr>
        <xdr:cNvPr id="3" name="5 Gráfico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223630</xdr:colOff>
      <xdr:row>124</xdr:row>
      <xdr:rowOff>156955</xdr:rowOff>
    </xdr:from>
    <xdr:to>
      <xdr:col>5</xdr:col>
      <xdr:colOff>152400</xdr:colOff>
      <xdr:row>150</xdr:row>
      <xdr:rowOff>57150</xdr:rowOff>
    </xdr:to>
    <xdr:graphicFrame macro="">
      <xdr:nvGraphicFramePr>
        <xdr:cNvPr id="4" name="7 Gráfico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448917</xdr:colOff>
      <xdr:row>73</xdr:row>
      <xdr:rowOff>39757</xdr:rowOff>
    </xdr:from>
    <xdr:to>
      <xdr:col>13</xdr:col>
      <xdr:colOff>266700</xdr:colOff>
      <xdr:row>94</xdr:row>
      <xdr:rowOff>38099</xdr:rowOff>
    </xdr:to>
    <xdr:graphicFrame macro="">
      <xdr:nvGraphicFramePr>
        <xdr:cNvPr id="5" name="8 Gráfico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24</xdr:row>
      <xdr:rowOff>171450</xdr:rowOff>
    </xdr:from>
    <xdr:to>
      <xdr:col>13</xdr:col>
      <xdr:colOff>276225</xdr:colOff>
      <xdr:row>24</xdr:row>
      <xdr:rowOff>3076575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438150</xdr:colOff>
      <xdr:row>0</xdr:row>
      <xdr:rowOff>38100</xdr:rowOff>
    </xdr:from>
    <xdr:to>
      <xdr:col>1</xdr:col>
      <xdr:colOff>1314450</xdr:colOff>
      <xdr:row>1</xdr:row>
      <xdr:rowOff>123825</xdr:rowOff>
    </xdr:to>
    <xdr:pic>
      <xdr:nvPicPr>
        <xdr:cNvPr id="2050" name="Picture 2">
          <a:extLst>
            <a:ext uri="{FF2B5EF4-FFF2-40B4-BE49-F238E27FC236}">
              <a16:creationId xmlns="" xmlns:a16="http://schemas.microsoft.com/office/drawing/2014/main" id="{00000000-0008-0000-01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8100"/>
          <a:ext cx="8763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24</xdr:row>
      <xdr:rowOff>171450</xdr:rowOff>
    </xdr:from>
    <xdr:to>
      <xdr:col>13</xdr:col>
      <xdr:colOff>276225</xdr:colOff>
      <xdr:row>24</xdr:row>
      <xdr:rowOff>3076575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438150</xdr:colOff>
      <xdr:row>0</xdr:row>
      <xdr:rowOff>38100</xdr:rowOff>
    </xdr:from>
    <xdr:to>
      <xdr:col>1</xdr:col>
      <xdr:colOff>1314450</xdr:colOff>
      <xdr:row>1</xdr:row>
      <xdr:rowOff>123825</xdr:rowOff>
    </xdr:to>
    <xdr:pic>
      <xdr:nvPicPr>
        <xdr:cNvPr id="3075" name="Picture 3">
          <a:extLst>
            <a:ext uri="{FF2B5EF4-FFF2-40B4-BE49-F238E27FC236}">
              <a16:creationId xmlns="" xmlns:a16="http://schemas.microsoft.com/office/drawing/2014/main" id="{00000000-0008-0000-02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8100"/>
          <a:ext cx="8763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25</xdr:row>
      <xdr:rowOff>171450</xdr:rowOff>
    </xdr:from>
    <xdr:to>
      <xdr:col>13</xdr:col>
      <xdr:colOff>276225</xdr:colOff>
      <xdr:row>25</xdr:row>
      <xdr:rowOff>3076575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438150</xdr:colOff>
      <xdr:row>0</xdr:row>
      <xdr:rowOff>38100</xdr:rowOff>
    </xdr:from>
    <xdr:to>
      <xdr:col>1</xdr:col>
      <xdr:colOff>1314450</xdr:colOff>
      <xdr:row>1</xdr:row>
      <xdr:rowOff>123825</xdr:rowOff>
    </xdr:to>
    <xdr:pic>
      <xdr:nvPicPr>
        <xdr:cNvPr id="4099" name="Picture 3">
          <a:extLst>
            <a:ext uri="{FF2B5EF4-FFF2-40B4-BE49-F238E27FC236}">
              <a16:creationId xmlns="" xmlns:a16="http://schemas.microsoft.com/office/drawing/2014/main" id="{00000000-0008-0000-0300-00000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8100"/>
          <a:ext cx="8763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25</xdr:row>
      <xdr:rowOff>171450</xdr:rowOff>
    </xdr:from>
    <xdr:to>
      <xdr:col>13</xdr:col>
      <xdr:colOff>276225</xdr:colOff>
      <xdr:row>25</xdr:row>
      <xdr:rowOff>3076575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438150</xdr:colOff>
      <xdr:row>0</xdr:row>
      <xdr:rowOff>38100</xdr:rowOff>
    </xdr:from>
    <xdr:to>
      <xdr:col>1</xdr:col>
      <xdr:colOff>1314450</xdr:colOff>
      <xdr:row>1</xdr:row>
      <xdr:rowOff>123825</xdr:rowOff>
    </xdr:to>
    <xdr:pic>
      <xdr:nvPicPr>
        <xdr:cNvPr id="5123" name="Picture 3">
          <a:extLst>
            <a:ext uri="{FF2B5EF4-FFF2-40B4-BE49-F238E27FC236}">
              <a16:creationId xmlns="" xmlns:a16="http://schemas.microsoft.com/office/drawing/2014/main" id="{00000000-0008-0000-0400-00000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8100"/>
          <a:ext cx="8763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24</xdr:row>
      <xdr:rowOff>171450</xdr:rowOff>
    </xdr:from>
    <xdr:to>
      <xdr:col>13</xdr:col>
      <xdr:colOff>276225</xdr:colOff>
      <xdr:row>24</xdr:row>
      <xdr:rowOff>3076575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438150</xdr:colOff>
      <xdr:row>0</xdr:row>
      <xdr:rowOff>38100</xdr:rowOff>
    </xdr:from>
    <xdr:to>
      <xdr:col>1</xdr:col>
      <xdr:colOff>1314450</xdr:colOff>
      <xdr:row>1</xdr:row>
      <xdr:rowOff>123825</xdr:rowOff>
    </xdr:to>
    <xdr:pic>
      <xdr:nvPicPr>
        <xdr:cNvPr id="6147" name="Picture 3">
          <a:extLst>
            <a:ext uri="{FF2B5EF4-FFF2-40B4-BE49-F238E27FC236}">
              <a16:creationId xmlns="" xmlns:a16="http://schemas.microsoft.com/office/drawing/2014/main" id="{00000000-0008-0000-0500-00000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8100"/>
          <a:ext cx="8763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24</xdr:row>
      <xdr:rowOff>171450</xdr:rowOff>
    </xdr:from>
    <xdr:to>
      <xdr:col>13</xdr:col>
      <xdr:colOff>276225</xdr:colOff>
      <xdr:row>24</xdr:row>
      <xdr:rowOff>3076575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438150</xdr:colOff>
      <xdr:row>0</xdr:row>
      <xdr:rowOff>38100</xdr:rowOff>
    </xdr:from>
    <xdr:to>
      <xdr:col>1</xdr:col>
      <xdr:colOff>1314450</xdr:colOff>
      <xdr:row>1</xdr:row>
      <xdr:rowOff>123825</xdr:rowOff>
    </xdr:to>
    <xdr:pic>
      <xdr:nvPicPr>
        <xdr:cNvPr id="7171" name="Picture 3">
          <a:extLst>
            <a:ext uri="{FF2B5EF4-FFF2-40B4-BE49-F238E27FC236}">
              <a16:creationId xmlns="" xmlns:a16="http://schemas.microsoft.com/office/drawing/2014/main" id="{00000000-0008-0000-0600-00000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8100"/>
          <a:ext cx="8763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24</xdr:row>
      <xdr:rowOff>171450</xdr:rowOff>
    </xdr:from>
    <xdr:to>
      <xdr:col>13</xdr:col>
      <xdr:colOff>276225</xdr:colOff>
      <xdr:row>24</xdr:row>
      <xdr:rowOff>3076575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438150</xdr:colOff>
      <xdr:row>0</xdr:row>
      <xdr:rowOff>38100</xdr:rowOff>
    </xdr:from>
    <xdr:to>
      <xdr:col>1</xdr:col>
      <xdr:colOff>1314450</xdr:colOff>
      <xdr:row>1</xdr:row>
      <xdr:rowOff>123825</xdr:rowOff>
    </xdr:to>
    <xdr:pic>
      <xdr:nvPicPr>
        <xdr:cNvPr id="9219" name="Picture 3">
          <a:extLst>
            <a:ext uri="{FF2B5EF4-FFF2-40B4-BE49-F238E27FC236}">
              <a16:creationId xmlns="" xmlns:a16="http://schemas.microsoft.com/office/drawing/2014/main" id="{00000000-0008-0000-0700-00000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8100"/>
          <a:ext cx="8763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24</xdr:row>
      <xdr:rowOff>171450</xdr:rowOff>
    </xdr:from>
    <xdr:to>
      <xdr:col>13</xdr:col>
      <xdr:colOff>276225</xdr:colOff>
      <xdr:row>24</xdr:row>
      <xdr:rowOff>3076575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438150</xdr:colOff>
      <xdr:row>0</xdr:row>
      <xdr:rowOff>38100</xdr:rowOff>
    </xdr:from>
    <xdr:to>
      <xdr:col>1</xdr:col>
      <xdr:colOff>1314450</xdr:colOff>
      <xdr:row>1</xdr:row>
      <xdr:rowOff>123825</xdr:rowOff>
    </xdr:to>
    <xdr:pic>
      <xdr:nvPicPr>
        <xdr:cNvPr id="10243" name="Picture 3">
          <a:extLst>
            <a:ext uri="{FF2B5EF4-FFF2-40B4-BE49-F238E27FC236}">
              <a16:creationId xmlns="" xmlns:a16="http://schemas.microsoft.com/office/drawing/2014/main" id="{00000000-0008-0000-0800-00000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8100"/>
          <a:ext cx="8763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49"/>
  <sheetViews>
    <sheetView windowProtection="1" workbookViewId="0">
      <pane ySplit="5" topLeftCell="A6" activePane="bottomLeft" state="frozen"/>
      <selection activeCell="F1" sqref="F1"/>
      <selection pane="bottomLeft" activeCell="L5" sqref="L5"/>
    </sheetView>
  </sheetViews>
  <sheetFormatPr baseColWidth="10" defaultRowHeight="15" x14ac:dyDescent="0.25"/>
  <cols>
    <col min="1" max="1" width="4.140625" style="2" customWidth="1"/>
    <col min="2" max="2" width="18.7109375" customWidth="1"/>
    <col min="3" max="3" width="28.5703125" customWidth="1"/>
    <col min="4" max="4" width="19.7109375" customWidth="1"/>
    <col min="5" max="5" width="4.5703125" customWidth="1"/>
    <col min="6" max="6" width="4.5703125" style="2" customWidth="1"/>
    <col min="7" max="7" width="8.7109375" customWidth="1"/>
    <col min="8" max="8" width="9.5703125" customWidth="1"/>
    <col min="9" max="9" width="10.5703125" customWidth="1"/>
    <col min="10" max="10" width="3.140625" customWidth="1"/>
    <col min="11" max="11" width="3" style="2" customWidth="1"/>
    <col min="12" max="12" width="4" style="2" customWidth="1"/>
    <col min="13" max="24" width="4.28515625" customWidth="1"/>
    <col min="25" max="25" width="6.85546875" customWidth="1"/>
    <col min="26" max="26" width="10.7109375" hidden="1" customWidth="1"/>
    <col min="27" max="27" width="30.42578125" hidden="1" customWidth="1"/>
    <col min="28" max="28" width="0" hidden="1" customWidth="1"/>
    <col min="29" max="30" width="11.42578125" customWidth="1"/>
  </cols>
  <sheetData>
    <row r="1" spans="1:25" s="2" customFormat="1" ht="20.25" customHeight="1" thickTop="1" x14ac:dyDescent="0.25">
      <c r="A1" s="161"/>
      <c r="B1" s="162"/>
      <c r="C1" s="163"/>
      <c r="D1" s="155" t="s">
        <v>50</v>
      </c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7"/>
    </row>
    <row r="2" spans="1:25" s="2" customFormat="1" ht="12.75" customHeight="1" thickBot="1" x14ac:dyDescent="0.3">
      <c r="A2" s="164"/>
      <c r="B2" s="165"/>
      <c r="C2" s="166"/>
      <c r="D2" s="158" t="s">
        <v>67</v>
      </c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60"/>
    </row>
    <row r="3" spans="1:25" s="2" customFormat="1" ht="18" customHeight="1" thickTop="1" thickBot="1" x14ac:dyDescent="0.3">
      <c r="A3" s="172" t="s">
        <v>51</v>
      </c>
      <c r="B3" s="173"/>
      <c r="C3" s="173"/>
      <c r="D3" s="173"/>
      <c r="E3" s="173"/>
      <c r="F3" s="173"/>
      <c r="G3" s="173"/>
      <c r="H3" s="173"/>
      <c r="I3" s="173"/>
      <c r="J3" s="174" t="s">
        <v>265</v>
      </c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5"/>
    </row>
    <row r="4" spans="1:25" s="2" customFormat="1" ht="30.75" customHeight="1" thickTop="1" thickBot="1" x14ac:dyDescent="0.3">
      <c r="A4" s="167" t="s">
        <v>1</v>
      </c>
      <c r="B4" s="167"/>
      <c r="C4" s="167" t="s">
        <v>2</v>
      </c>
      <c r="D4" s="167" t="s">
        <v>5</v>
      </c>
      <c r="E4" s="170" t="s">
        <v>40</v>
      </c>
      <c r="F4" s="170" t="s">
        <v>66</v>
      </c>
      <c r="G4" s="167" t="s">
        <v>6</v>
      </c>
      <c r="H4" s="167"/>
      <c r="I4" s="167"/>
      <c r="J4" s="168" t="s">
        <v>39</v>
      </c>
      <c r="K4" s="168" t="s">
        <v>270</v>
      </c>
      <c r="L4" s="169" t="s">
        <v>271</v>
      </c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</row>
    <row r="5" spans="1:25" s="1" customFormat="1" ht="31.5" customHeight="1" thickTop="1" thickBot="1" x14ac:dyDescent="0.25">
      <c r="A5" s="167"/>
      <c r="B5" s="167"/>
      <c r="C5" s="167"/>
      <c r="D5" s="167"/>
      <c r="E5" s="171"/>
      <c r="F5" s="171"/>
      <c r="G5" s="32" t="s">
        <v>7</v>
      </c>
      <c r="H5" s="33" t="s">
        <v>61</v>
      </c>
      <c r="I5" s="34" t="s">
        <v>62</v>
      </c>
      <c r="J5" s="168"/>
      <c r="K5" s="168"/>
      <c r="L5" s="31" t="s">
        <v>54</v>
      </c>
      <c r="M5" s="31" t="s">
        <v>8</v>
      </c>
      <c r="N5" s="31" t="s">
        <v>9</v>
      </c>
      <c r="O5" s="31" t="s">
        <v>10</v>
      </c>
      <c r="P5" s="31" t="s">
        <v>11</v>
      </c>
      <c r="Q5" s="31" t="s">
        <v>12</v>
      </c>
      <c r="R5" s="31" t="s">
        <v>13</v>
      </c>
      <c r="S5" s="31" t="s">
        <v>14</v>
      </c>
      <c r="T5" s="31" t="s">
        <v>15</v>
      </c>
      <c r="U5" s="31" t="s">
        <v>16</v>
      </c>
      <c r="V5" s="31" t="s">
        <v>17</v>
      </c>
      <c r="W5" s="31" t="s">
        <v>18</v>
      </c>
      <c r="X5" s="31" t="s">
        <v>19</v>
      </c>
    </row>
    <row r="6" spans="1:25" s="1" customFormat="1" ht="57.75" customHeight="1" thickTop="1" thickBot="1" x14ac:dyDescent="0.25">
      <c r="A6" s="44" t="s">
        <v>41</v>
      </c>
      <c r="B6" s="45" t="s">
        <v>99</v>
      </c>
      <c r="C6" s="41" t="s">
        <v>146</v>
      </c>
      <c r="D6" s="42" t="s">
        <v>106</v>
      </c>
      <c r="E6" s="29" t="s">
        <v>53</v>
      </c>
      <c r="F6" s="49" t="s">
        <v>80</v>
      </c>
      <c r="G6" s="50" t="s">
        <v>109</v>
      </c>
      <c r="H6" s="50" t="s">
        <v>108</v>
      </c>
      <c r="I6" s="50" t="s">
        <v>107</v>
      </c>
      <c r="J6" s="69"/>
      <c r="K6" s="69"/>
      <c r="L6" s="30">
        <f>'01'!$O$17</f>
        <v>0.89386106336415228</v>
      </c>
      <c r="M6" s="30">
        <f>'01'!$C$17</f>
        <v>0.94317520379295061</v>
      </c>
      <c r="N6" s="30">
        <f>'01'!$D$17</f>
        <v>0.93226134970438923</v>
      </c>
      <c r="O6" s="30">
        <f>'01'!$E$17</f>
        <v>0.92963149633031028</v>
      </c>
      <c r="P6" s="30">
        <f>'01'!$F$17</f>
        <v>0.9017271714848667</v>
      </c>
      <c r="Q6" s="30">
        <f>'01'!$G$17</f>
        <v>0.90750047540137457</v>
      </c>
      <c r="R6" s="30">
        <f>'01'!$H$17</f>
        <v>0.75392580098877382</v>
      </c>
      <c r="S6" s="30">
        <f>'01'!$I$17</f>
        <v>0.9031394256581845</v>
      </c>
      <c r="T6" s="30">
        <f>'01'!$J$17</f>
        <v>0.87792860886754509</v>
      </c>
      <c r="U6" s="30">
        <f>'01'!$K$17</f>
        <v>0.93377584397572244</v>
      </c>
      <c r="V6" s="30">
        <f>'01'!$L$17</f>
        <v>0.87631988213145617</v>
      </c>
      <c r="W6" s="30">
        <f>'01'!$M$17</f>
        <v>0.8748505469716864</v>
      </c>
      <c r="X6" s="30">
        <f>'01'!$N$17</f>
        <v>0.87382890970314453</v>
      </c>
    </row>
    <row r="7" spans="1:25" s="1" customFormat="1" ht="49.5" customHeight="1" thickTop="1" thickBot="1" x14ac:dyDescent="0.25">
      <c r="A7" s="44" t="s">
        <v>42</v>
      </c>
      <c r="B7" s="45" t="s">
        <v>100</v>
      </c>
      <c r="C7" s="41" t="s">
        <v>147</v>
      </c>
      <c r="D7" s="42" t="s">
        <v>251</v>
      </c>
      <c r="E7" s="29" t="s">
        <v>53</v>
      </c>
      <c r="F7" s="49" t="s">
        <v>80</v>
      </c>
      <c r="G7" s="50" t="s">
        <v>111</v>
      </c>
      <c r="H7" s="50" t="s">
        <v>110</v>
      </c>
      <c r="I7" s="50" t="s">
        <v>107</v>
      </c>
      <c r="J7" s="69"/>
      <c r="K7" s="69"/>
      <c r="L7" s="30">
        <f>'02'!$O$17</f>
        <v>0.8260827144076297</v>
      </c>
      <c r="M7" s="30">
        <f>'02'!$C$17</f>
        <v>0.88745227629405654</v>
      </c>
      <c r="N7" s="30">
        <f>'02'!$D$17</f>
        <v>0.85898608160632051</v>
      </c>
      <c r="O7" s="30">
        <f>'02'!$E$17</f>
        <v>0.84788594638707704</v>
      </c>
      <c r="P7" s="30">
        <f>'02'!$F$17</f>
        <v>0.81446063046917383</v>
      </c>
      <c r="Q7" s="30">
        <f>'02'!$G$17</f>
        <v>0.81744634287237827</v>
      </c>
      <c r="R7" s="30">
        <f>'02'!$H$17</f>
        <v>0.81664942459825052</v>
      </c>
      <c r="S7" s="30">
        <f>'02'!$I$17</f>
        <v>0.80705501691587567</v>
      </c>
      <c r="T7" s="30">
        <f>'02'!$J$17</f>
        <v>0.79496897571117631</v>
      </c>
      <c r="U7" s="30">
        <f>'02'!$K$17</f>
        <v>0.8567744785553395</v>
      </c>
      <c r="V7" s="30">
        <f>'02'!$L$17</f>
        <v>0.7935015857826776</v>
      </c>
      <c r="W7" s="30">
        <f>'02'!$M$17</f>
        <v>0.80446872087813004</v>
      </c>
      <c r="X7" s="30">
        <f>'02'!$N$17</f>
        <v>0.80681658407531642</v>
      </c>
    </row>
    <row r="8" spans="1:25" s="1" customFormat="1" ht="60" customHeight="1" thickTop="1" thickBot="1" x14ac:dyDescent="0.25">
      <c r="A8" s="44" t="s">
        <v>43</v>
      </c>
      <c r="B8" s="45" t="s">
        <v>178</v>
      </c>
      <c r="C8" s="41" t="s">
        <v>148</v>
      </c>
      <c r="D8" s="42" t="s">
        <v>113</v>
      </c>
      <c r="E8" s="29" t="s">
        <v>53</v>
      </c>
      <c r="F8" s="49" t="s">
        <v>80</v>
      </c>
      <c r="G8" s="50" t="s">
        <v>128</v>
      </c>
      <c r="H8" s="50" t="s">
        <v>127</v>
      </c>
      <c r="I8" s="50" t="s">
        <v>126</v>
      </c>
      <c r="J8" s="70"/>
      <c r="K8" s="70"/>
      <c r="L8" s="52">
        <f>'03'!$O$17</f>
        <v>6.34260120032532</v>
      </c>
      <c r="M8" s="52">
        <f>'03'!$C$17</f>
        <v>3.6632091044211914</v>
      </c>
      <c r="N8" s="52">
        <f>'03'!$D$17</f>
        <v>4.0978033585300135</v>
      </c>
      <c r="O8" s="52">
        <f>'03'!$E$17</f>
        <v>4.6986348232325934</v>
      </c>
      <c r="P8" s="52">
        <f>'03'!$F$17</f>
        <v>6.327422770947412</v>
      </c>
      <c r="Q8" s="52">
        <f>'03'!$G$17</f>
        <v>6.4299269596974051</v>
      </c>
      <c r="R8" s="52">
        <f>'03'!$H$17</f>
        <v>6.48065365375012</v>
      </c>
      <c r="S8" s="52">
        <f>'03'!$I$17</f>
        <v>7.5167495933284982</v>
      </c>
      <c r="T8" s="52">
        <f>'03'!$J$17</f>
        <v>7.7736246916662015</v>
      </c>
      <c r="U8" s="52">
        <f>'03'!$K$17</f>
        <v>5.6541025576031023</v>
      </c>
      <c r="V8" s="52">
        <f>'03'!$L$17</f>
        <v>7.3436687054096863</v>
      </c>
      <c r="W8" s="52">
        <f>'03'!$M$17</f>
        <v>7.0398181544439575</v>
      </c>
      <c r="X8" s="52">
        <f>'03'!$N$17</f>
        <v>6.8040223920931036</v>
      </c>
    </row>
    <row r="9" spans="1:25" s="1" customFormat="1" ht="52.5" customHeight="1" thickTop="1" thickBot="1" x14ac:dyDescent="0.25">
      <c r="A9" s="44" t="s">
        <v>44</v>
      </c>
      <c r="B9" s="45" t="s">
        <v>179</v>
      </c>
      <c r="C9" s="41" t="s">
        <v>149</v>
      </c>
      <c r="D9" s="42" t="s">
        <v>114</v>
      </c>
      <c r="E9" s="29" t="s">
        <v>53</v>
      </c>
      <c r="F9" s="49" t="s">
        <v>80</v>
      </c>
      <c r="G9" s="50" t="s">
        <v>109</v>
      </c>
      <c r="H9" s="50" t="s">
        <v>108</v>
      </c>
      <c r="I9" s="50" t="s">
        <v>107</v>
      </c>
      <c r="J9" s="69"/>
      <c r="K9" s="69"/>
      <c r="L9" s="30" t="str">
        <f>'04'!$O$17</f>
        <v>-</v>
      </c>
      <c r="M9" s="30" t="str">
        <f>'04'!$C$17</f>
        <v>-</v>
      </c>
      <c r="N9" s="30" t="str">
        <f>'04'!$D$17</f>
        <v>-</v>
      </c>
      <c r="O9" s="30" t="str">
        <f>'04'!$E$17</f>
        <v>-</v>
      </c>
      <c r="P9" s="30" t="str">
        <f>'04'!$F$17</f>
        <v>-</v>
      </c>
      <c r="Q9" s="30" t="str">
        <f>'04'!$G$17</f>
        <v>-</v>
      </c>
      <c r="R9" s="30" t="str">
        <f>'04'!$H$17</f>
        <v>-</v>
      </c>
      <c r="S9" s="30" t="str">
        <f>'04'!$I$17</f>
        <v>-</v>
      </c>
      <c r="T9" s="30" t="str">
        <f>'04'!$J$17</f>
        <v>-</v>
      </c>
      <c r="U9" s="30" t="str">
        <f>'04'!$K$17</f>
        <v>-</v>
      </c>
      <c r="V9" s="30" t="str">
        <f>'04'!$L$17</f>
        <v>-</v>
      </c>
      <c r="W9" s="30" t="str">
        <f>'04'!$M$17</f>
        <v>-</v>
      </c>
      <c r="X9" s="30" t="str">
        <f>'04'!$N$17</f>
        <v>-</v>
      </c>
    </row>
    <row r="10" spans="1:25" s="1" customFormat="1" ht="60" customHeight="1" thickTop="1" thickBot="1" x14ac:dyDescent="0.25">
      <c r="A10" s="44" t="s">
        <v>45</v>
      </c>
      <c r="B10" s="45" t="s">
        <v>174</v>
      </c>
      <c r="C10" s="41" t="s">
        <v>151</v>
      </c>
      <c r="D10" s="42" t="s">
        <v>252</v>
      </c>
      <c r="E10" s="29" t="s">
        <v>53</v>
      </c>
      <c r="F10" s="49" t="s">
        <v>80</v>
      </c>
      <c r="G10" s="50" t="s">
        <v>109</v>
      </c>
      <c r="H10" s="50" t="s">
        <v>108</v>
      </c>
      <c r="I10" s="50" t="s">
        <v>107</v>
      </c>
      <c r="J10" s="69"/>
      <c r="K10" s="69"/>
      <c r="L10" s="30">
        <f>'05'!$O$17</f>
        <v>0.98444355803749506</v>
      </c>
      <c r="M10" s="30">
        <f>'05'!$C$17</f>
        <v>0.9842615012106537</v>
      </c>
      <c r="N10" s="30">
        <f>'05'!$D$17</f>
        <v>0.9843184559710495</v>
      </c>
      <c r="O10" s="30">
        <f>'05'!$E$17</f>
        <v>0.98439375750300118</v>
      </c>
      <c r="P10" s="30">
        <f>'05'!$F$17</f>
        <v>0.98439375750300118</v>
      </c>
      <c r="Q10" s="30">
        <f>'05'!$G$17</f>
        <v>0.98444976076555024</v>
      </c>
      <c r="R10" s="30">
        <f>'05'!$H$17</f>
        <v>0.98444976076555024</v>
      </c>
      <c r="S10" s="30">
        <f>'05'!$I$17</f>
        <v>0.98448687350835318</v>
      </c>
      <c r="T10" s="30">
        <f>'05'!$J$17</f>
        <v>0.98446833930704902</v>
      </c>
      <c r="U10" s="30">
        <f>'05'!$K$17</f>
        <v>0.98450536352800955</v>
      </c>
      <c r="V10" s="30">
        <f>'05'!$L$17</f>
        <v>0.98452380952380958</v>
      </c>
      <c r="W10" s="30">
        <f>'05'!$M$17</f>
        <v>0.98454221165279432</v>
      </c>
      <c r="X10" s="30">
        <f>'05'!$N$17</f>
        <v>0.98452380952380958</v>
      </c>
    </row>
    <row r="11" spans="1:25" s="1" customFormat="1" ht="52.5" customHeight="1" thickTop="1" thickBot="1" x14ac:dyDescent="0.25">
      <c r="A11" s="44" t="s">
        <v>46</v>
      </c>
      <c r="B11" s="46" t="s">
        <v>175</v>
      </c>
      <c r="C11" s="41" t="s">
        <v>150</v>
      </c>
      <c r="D11" s="42" t="s">
        <v>253</v>
      </c>
      <c r="E11" s="29" t="s">
        <v>53</v>
      </c>
      <c r="F11" s="49" t="s">
        <v>80</v>
      </c>
      <c r="G11" s="50" t="s">
        <v>109</v>
      </c>
      <c r="H11" s="50" t="s">
        <v>108</v>
      </c>
      <c r="I11" s="50" t="s">
        <v>107</v>
      </c>
      <c r="J11" s="69"/>
      <c r="K11" s="69"/>
      <c r="L11" s="30">
        <f>'06'!$O$17</f>
        <v>0.95372955723972874</v>
      </c>
      <c r="M11" s="30">
        <f>'06'!$C$17</f>
        <v>0.95278450363196121</v>
      </c>
      <c r="N11" s="30">
        <f>'06'!$D$17</f>
        <v>0.95295536791314839</v>
      </c>
      <c r="O11" s="30">
        <f>'06'!$E$17</f>
        <v>0.95318127250900364</v>
      </c>
      <c r="P11" s="30">
        <f>'06'!$F$17</f>
        <v>0.95318127250900364</v>
      </c>
      <c r="Q11" s="30">
        <f>'06'!$G$17</f>
        <v>0.95334928229665072</v>
      </c>
      <c r="R11" s="30">
        <f>'06'!$H$17</f>
        <v>0.95334928229665072</v>
      </c>
      <c r="S11" s="30">
        <f>'06'!$I$17</f>
        <v>0.95226730310262531</v>
      </c>
      <c r="T11" s="30">
        <f>'06'!$J$17</f>
        <v>0.95459976105137401</v>
      </c>
      <c r="U11" s="30">
        <f>'06'!$K$17</f>
        <v>0.95470798569725868</v>
      </c>
      <c r="V11" s="30">
        <f>'06'!$L$17</f>
        <v>0.95476190476190481</v>
      </c>
      <c r="W11" s="30">
        <f>'06'!$M$17</f>
        <v>0.95481569560047563</v>
      </c>
      <c r="X11" s="30">
        <f>'06'!$N$17</f>
        <v>0.95476190476190481</v>
      </c>
    </row>
    <row r="12" spans="1:25" s="1" customFormat="1" ht="48.75" customHeight="1" thickTop="1" thickBot="1" x14ac:dyDescent="0.25">
      <c r="A12" s="44" t="s">
        <v>47</v>
      </c>
      <c r="B12" s="45" t="s">
        <v>176</v>
      </c>
      <c r="C12" s="41" t="s">
        <v>152</v>
      </c>
      <c r="D12" s="42" t="s">
        <v>254</v>
      </c>
      <c r="E12" s="29" t="s">
        <v>53</v>
      </c>
      <c r="F12" s="49" t="s">
        <v>80</v>
      </c>
      <c r="G12" s="50" t="s">
        <v>109</v>
      </c>
      <c r="H12" s="50" t="s">
        <v>108</v>
      </c>
      <c r="I12" s="50" t="s">
        <v>107</v>
      </c>
      <c r="J12" s="69"/>
      <c r="K12" s="69"/>
      <c r="L12" s="30">
        <f>'07'!$O$17</f>
        <v>0.95547430293594426</v>
      </c>
      <c r="M12" s="30">
        <f>'07'!$C$17</f>
        <v>0.9552058111380145</v>
      </c>
      <c r="N12" s="30">
        <f>'07'!$D$17</f>
        <v>0.95536791314837144</v>
      </c>
      <c r="O12" s="30">
        <f>'07'!$E$17</f>
        <v>0.95558223289315714</v>
      </c>
      <c r="P12" s="30">
        <f>'07'!$F$17</f>
        <v>0.95558223289315725</v>
      </c>
      <c r="Q12" s="30">
        <f>'07'!$G$17</f>
        <v>0.95574162679425834</v>
      </c>
      <c r="R12" s="30">
        <f>'07'!$H$17</f>
        <v>0.95574162679425823</v>
      </c>
      <c r="S12" s="30">
        <f>'07'!$I$17</f>
        <v>0.95346062052505953</v>
      </c>
      <c r="T12" s="30">
        <f>'07'!$J$17</f>
        <v>0.95579450418160095</v>
      </c>
      <c r="U12" s="30">
        <f>'07'!$K$17</f>
        <v>0.95589988081048871</v>
      </c>
      <c r="V12" s="30">
        <f>'07'!$L$17</f>
        <v>0.955952380952381</v>
      </c>
      <c r="W12" s="30">
        <f>'07'!$M$17</f>
        <v>0.95600475624256842</v>
      </c>
      <c r="X12" s="30">
        <f>'07'!$N$17</f>
        <v>0.955952380952381</v>
      </c>
    </row>
    <row r="13" spans="1:25" s="1" customFormat="1" ht="47.25" customHeight="1" thickTop="1" thickBot="1" x14ac:dyDescent="0.25">
      <c r="A13" s="44" t="s">
        <v>48</v>
      </c>
      <c r="B13" s="45" t="s">
        <v>101</v>
      </c>
      <c r="C13" s="41" t="s">
        <v>154</v>
      </c>
      <c r="D13" s="42" t="s">
        <v>255</v>
      </c>
      <c r="E13" s="29" t="s">
        <v>53</v>
      </c>
      <c r="F13" s="49" t="s">
        <v>80</v>
      </c>
      <c r="G13" s="50" t="s">
        <v>109</v>
      </c>
      <c r="H13" s="50" t="s">
        <v>108</v>
      </c>
      <c r="I13" s="50" t="s">
        <v>107</v>
      </c>
      <c r="J13" s="69"/>
      <c r="K13" s="69"/>
      <c r="L13" s="30">
        <f>'08'!$O$17</f>
        <v>0.9682941653160454</v>
      </c>
      <c r="M13" s="30">
        <f>'08'!$C$17</f>
        <v>0.95325953259532592</v>
      </c>
      <c r="N13" s="30">
        <f>'08'!$D$17</f>
        <v>0.94362745098039214</v>
      </c>
      <c r="O13" s="30">
        <f>'08'!$E$17</f>
        <v>0.95243902439024386</v>
      </c>
      <c r="P13" s="30">
        <f>'08'!$F$17</f>
        <v>0.95121951219512191</v>
      </c>
      <c r="Q13" s="30">
        <f>'08'!$G$17</f>
        <v>0.93438639125151879</v>
      </c>
      <c r="R13" s="30">
        <f>'08'!$H$17</f>
        <v>0.9404617253948967</v>
      </c>
      <c r="S13" s="30">
        <f>'08'!$I$17</f>
        <v>0.943030303030303</v>
      </c>
      <c r="T13" s="30">
        <f>'08'!$J$17</f>
        <v>1</v>
      </c>
      <c r="U13" s="30">
        <f>'08'!$K$17</f>
        <v>1</v>
      </c>
      <c r="V13" s="30">
        <f>'08'!$L$17</f>
        <v>1</v>
      </c>
      <c r="W13" s="30">
        <f>'08'!$M$17</f>
        <v>1</v>
      </c>
      <c r="X13" s="30">
        <f>'08'!$N$17</f>
        <v>1</v>
      </c>
    </row>
    <row r="14" spans="1:25" s="2" customFormat="1" ht="49.5" customHeight="1" thickTop="1" thickBot="1" x14ac:dyDescent="0.3">
      <c r="A14" s="44" t="s">
        <v>49</v>
      </c>
      <c r="B14" s="45" t="s">
        <v>102</v>
      </c>
      <c r="C14" s="41" t="s">
        <v>159</v>
      </c>
      <c r="D14" s="42" t="s">
        <v>115</v>
      </c>
      <c r="E14" s="29" t="s">
        <v>53</v>
      </c>
      <c r="F14" s="49" t="s">
        <v>80</v>
      </c>
      <c r="G14" s="50" t="s">
        <v>118</v>
      </c>
      <c r="H14" s="50" t="s">
        <v>117</v>
      </c>
      <c r="I14" s="50" t="s">
        <v>116</v>
      </c>
      <c r="J14" s="69"/>
      <c r="K14" s="69"/>
      <c r="L14" s="30" t="str">
        <f>'09'!$O$17</f>
        <v>-</v>
      </c>
      <c r="M14" s="30" t="str">
        <f>'09'!$C$17</f>
        <v>-</v>
      </c>
      <c r="N14" s="30" t="str">
        <f>'09'!$D$17</f>
        <v>-</v>
      </c>
      <c r="O14" s="30" t="str">
        <f>'09'!$E$17</f>
        <v>-</v>
      </c>
      <c r="P14" s="30" t="str">
        <f>'09'!$F$17</f>
        <v>-</v>
      </c>
      <c r="Q14" s="30" t="str">
        <f>'09'!$G$17</f>
        <v>-</v>
      </c>
      <c r="R14" s="30" t="str">
        <f>'09'!$H$17</f>
        <v>-</v>
      </c>
      <c r="S14" s="30" t="str">
        <f>'09'!$I$17</f>
        <v>-</v>
      </c>
      <c r="T14" s="30" t="str">
        <f>'09'!$J$17</f>
        <v>-</v>
      </c>
      <c r="U14" s="30" t="str">
        <f>'09'!$K$17</f>
        <v>-</v>
      </c>
      <c r="V14" s="30" t="str">
        <f>'09'!$L$17</f>
        <v>-</v>
      </c>
      <c r="W14" s="30" t="str">
        <f>'09'!$M$17</f>
        <v>-</v>
      </c>
      <c r="X14" s="30" t="str">
        <f>'09'!$N$17</f>
        <v>-</v>
      </c>
    </row>
    <row r="15" spans="1:25" s="2" customFormat="1" ht="48.75" customHeight="1" thickTop="1" thickBot="1" x14ac:dyDescent="0.3">
      <c r="A15" s="44" t="s">
        <v>95</v>
      </c>
      <c r="B15" s="45" t="s">
        <v>103</v>
      </c>
      <c r="C15" s="41" t="s">
        <v>153</v>
      </c>
      <c r="D15" s="42" t="s">
        <v>119</v>
      </c>
      <c r="E15" s="29" t="s">
        <v>53</v>
      </c>
      <c r="F15" s="49" t="s">
        <v>80</v>
      </c>
      <c r="G15" s="50" t="s">
        <v>122</v>
      </c>
      <c r="H15" s="50" t="s">
        <v>121</v>
      </c>
      <c r="I15" s="50" t="s">
        <v>120</v>
      </c>
      <c r="J15" s="69"/>
      <c r="K15" s="69"/>
      <c r="L15" s="30">
        <f>'10'!$O$17</f>
        <v>0.54693352161549047</v>
      </c>
      <c r="M15" s="30">
        <f>'10'!$C$17</f>
        <v>0.48456181079512478</v>
      </c>
      <c r="N15" s="30">
        <f>'10'!$D$17</f>
        <v>0.57059305181892617</v>
      </c>
      <c r="O15" s="30">
        <f>'10'!$E$17</f>
        <v>0.63859236937535113</v>
      </c>
      <c r="P15" s="30">
        <f>'10'!$F$17</f>
        <v>0.43629634276394202</v>
      </c>
      <c r="Q15" s="30">
        <f>'10'!$G$17</f>
        <v>0.52799350875159379</v>
      </c>
      <c r="R15" s="30">
        <f>'10'!$H$17</f>
        <v>0.5447715510045078</v>
      </c>
      <c r="S15" s="30">
        <f>'10'!$I$17</f>
        <v>0.49596478356566398</v>
      </c>
      <c r="T15" s="30">
        <f>'10'!$J$17</f>
        <v>0.54708567788512585</v>
      </c>
      <c r="U15" s="30">
        <f>'10'!$K$17</f>
        <v>0.46915101872178977</v>
      </c>
      <c r="V15" s="30">
        <f>'10'!$L$17</f>
        <v>0.63432763288087679</v>
      </c>
      <c r="W15" s="30">
        <f>'10'!$M$17</f>
        <v>0.55892107886959241</v>
      </c>
      <c r="X15" s="30">
        <f>'10'!$N$17</f>
        <v>0.62479432332373508</v>
      </c>
    </row>
    <row r="16" spans="1:25" s="2" customFormat="1" ht="47.25" customHeight="1" thickTop="1" thickBot="1" x14ac:dyDescent="0.3">
      <c r="A16" s="44" t="s">
        <v>96</v>
      </c>
      <c r="B16" s="45" t="s">
        <v>177</v>
      </c>
      <c r="C16" s="41" t="s">
        <v>155</v>
      </c>
      <c r="D16" s="42" t="s">
        <v>168</v>
      </c>
      <c r="E16" s="29" t="s">
        <v>53</v>
      </c>
      <c r="F16" s="49" t="s">
        <v>80</v>
      </c>
      <c r="G16" s="50" t="s">
        <v>109</v>
      </c>
      <c r="H16" s="50" t="s">
        <v>108</v>
      </c>
      <c r="I16" s="50" t="s">
        <v>107</v>
      </c>
      <c r="J16" s="69"/>
      <c r="K16" s="69"/>
      <c r="L16" s="30" t="str">
        <f>'11'!$O$17</f>
        <v>-</v>
      </c>
      <c r="M16" s="30" t="str">
        <f>'11'!$C$17</f>
        <v>-</v>
      </c>
      <c r="N16" s="30" t="str">
        <f>'11'!$D$17</f>
        <v>-</v>
      </c>
      <c r="O16" s="30" t="str">
        <f>'11'!$E$17</f>
        <v>-</v>
      </c>
      <c r="P16" s="30" t="str">
        <f>'11'!$F$17</f>
        <v>-</v>
      </c>
      <c r="Q16" s="30" t="str">
        <f>'11'!$G$17</f>
        <v>-</v>
      </c>
      <c r="R16" s="30" t="str">
        <f>'11'!$H$17</f>
        <v>-</v>
      </c>
      <c r="S16" s="30" t="str">
        <f>'11'!$I$17</f>
        <v>-</v>
      </c>
      <c r="T16" s="30" t="str">
        <f>'11'!$J$17</f>
        <v>-</v>
      </c>
      <c r="U16" s="30" t="str">
        <f>'11'!$K$17</f>
        <v>-</v>
      </c>
      <c r="V16" s="30" t="str">
        <f>'11'!$L$17</f>
        <v>-</v>
      </c>
      <c r="W16" s="30" t="str">
        <f>'11'!$M$17</f>
        <v>-</v>
      </c>
      <c r="X16" s="30" t="str">
        <f>'11'!$N$17</f>
        <v>-</v>
      </c>
      <c r="Y16" s="55"/>
    </row>
    <row r="17" spans="1:26" s="2" customFormat="1" ht="48.75" customHeight="1" thickTop="1" thickBot="1" x14ac:dyDescent="0.3">
      <c r="A17" s="44" t="s">
        <v>97</v>
      </c>
      <c r="B17" s="45" t="s">
        <v>104</v>
      </c>
      <c r="C17" s="41" t="s">
        <v>156</v>
      </c>
      <c r="D17" s="42" t="s">
        <v>256</v>
      </c>
      <c r="E17" s="29" t="s">
        <v>65</v>
      </c>
      <c r="F17" s="49" t="s">
        <v>80</v>
      </c>
      <c r="G17" s="50" t="s">
        <v>125</v>
      </c>
      <c r="H17" s="50" t="s">
        <v>124</v>
      </c>
      <c r="I17" s="50" t="s">
        <v>123</v>
      </c>
      <c r="J17" s="69"/>
      <c r="K17" s="69"/>
      <c r="L17" s="30" t="str">
        <f>'12'!$O$17</f>
        <v>-</v>
      </c>
      <c r="M17" s="30" t="str">
        <f>'12'!$C$17</f>
        <v>-</v>
      </c>
      <c r="N17" s="30" t="str">
        <f>'12'!$D$17</f>
        <v>-</v>
      </c>
      <c r="O17" s="30" t="str">
        <f>'12'!$E$17</f>
        <v>-</v>
      </c>
      <c r="P17" s="30" t="str">
        <f>'12'!$F$17</f>
        <v>-</v>
      </c>
      <c r="Q17" s="30" t="str">
        <f>'12'!$G$17</f>
        <v>-</v>
      </c>
      <c r="R17" s="30" t="str">
        <f>'12'!$H$17</f>
        <v>-</v>
      </c>
      <c r="S17" s="30" t="str">
        <f>'12'!$I$17</f>
        <v>-</v>
      </c>
      <c r="T17" s="30" t="str">
        <f>'12'!$J$17</f>
        <v>-</v>
      </c>
      <c r="U17" s="30" t="str">
        <f>'12'!$K$17</f>
        <v>-</v>
      </c>
      <c r="V17" s="30" t="str">
        <f>'12'!$L$17</f>
        <v>-</v>
      </c>
      <c r="W17" s="30" t="str">
        <f>'12'!$M$17</f>
        <v>-</v>
      </c>
      <c r="X17" s="30" t="str">
        <f>'12'!$N$17</f>
        <v>-</v>
      </c>
    </row>
    <row r="18" spans="1:26" s="2" customFormat="1" ht="48.75" customHeight="1" thickTop="1" thickBot="1" x14ac:dyDescent="0.3">
      <c r="A18" s="44" t="s">
        <v>98</v>
      </c>
      <c r="B18" s="45" t="s">
        <v>160</v>
      </c>
      <c r="C18" s="41" t="s">
        <v>161</v>
      </c>
      <c r="D18" s="42" t="s">
        <v>257</v>
      </c>
      <c r="E18" s="29" t="s">
        <v>53</v>
      </c>
      <c r="F18" s="49" t="s">
        <v>80</v>
      </c>
      <c r="G18" s="50" t="s">
        <v>162</v>
      </c>
      <c r="H18" s="50" t="s">
        <v>163</v>
      </c>
      <c r="I18" s="50" t="s">
        <v>164</v>
      </c>
      <c r="J18" s="69"/>
      <c r="K18" s="69"/>
      <c r="L18" s="30">
        <f>'13'!$O$17</f>
        <v>2.6337115072933548E-3</v>
      </c>
      <c r="M18" s="30">
        <f>'13'!$C$17</f>
        <v>3.6900369003690036E-3</v>
      </c>
      <c r="N18" s="30">
        <f>'13'!$D$17</f>
        <v>9.8039215686274508E-3</v>
      </c>
      <c r="O18" s="30">
        <f>'13'!$E$17</f>
        <v>4.8780487804878049E-3</v>
      </c>
      <c r="P18" s="30">
        <f>'13'!$F$17</f>
        <v>0</v>
      </c>
      <c r="Q18" s="30">
        <f>'13'!$G$17</f>
        <v>0</v>
      </c>
      <c r="R18" s="30">
        <f>'13'!$H$17</f>
        <v>3.6452004860267314E-3</v>
      </c>
      <c r="S18" s="30">
        <f>'13'!$I$17</f>
        <v>1.2121212121212121E-3</v>
      </c>
      <c r="T18" s="30">
        <f>'13'!$J$17</f>
        <v>2.4271844660194173E-3</v>
      </c>
      <c r="U18" s="30">
        <f>'13'!$K$17</f>
        <v>0</v>
      </c>
      <c r="V18" s="30">
        <f>'13'!$L$17</f>
        <v>0</v>
      </c>
      <c r="W18" s="30">
        <f>'13'!$M$17</f>
        <v>3.6231884057971015E-3</v>
      </c>
      <c r="X18" s="30">
        <f>'13'!$N$17</f>
        <v>2.4183796856106408E-3</v>
      </c>
    </row>
    <row r="19" spans="1:26" s="2" customFormat="1" ht="49.5" customHeight="1" thickTop="1" thickBot="1" x14ac:dyDescent="0.3">
      <c r="A19" s="44" t="s">
        <v>158</v>
      </c>
      <c r="B19" s="45" t="s">
        <v>105</v>
      </c>
      <c r="C19" s="41" t="s">
        <v>157</v>
      </c>
      <c r="D19" s="42" t="s">
        <v>145</v>
      </c>
      <c r="E19" s="29" t="s">
        <v>53</v>
      </c>
      <c r="F19" s="49" t="s">
        <v>80</v>
      </c>
      <c r="G19" s="50" t="s">
        <v>125</v>
      </c>
      <c r="H19" s="50" t="s">
        <v>124</v>
      </c>
      <c r="I19" s="50" t="s">
        <v>123</v>
      </c>
      <c r="J19" s="69"/>
      <c r="K19" s="69"/>
      <c r="L19" s="30">
        <f>'14'!$O$17</f>
        <v>0.95547430293594426</v>
      </c>
      <c r="M19" s="30">
        <f>'14'!$C$17</f>
        <v>0.9552058111380145</v>
      </c>
      <c r="N19" s="30">
        <f>'14'!$D$17</f>
        <v>0.95536791314837144</v>
      </c>
      <c r="O19" s="30">
        <f>'14'!$E$17</f>
        <v>0.95558223289315714</v>
      </c>
      <c r="P19" s="30">
        <f>'14'!$F$17</f>
        <v>0.95558223289315725</v>
      </c>
      <c r="Q19" s="30">
        <f>'14'!$G$17</f>
        <v>0.95574162679425834</v>
      </c>
      <c r="R19" s="30">
        <f>'14'!$H$17</f>
        <v>0.95574162679425823</v>
      </c>
      <c r="S19" s="30">
        <f>'14'!$I$17</f>
        <v>0.95346062052505953</v>
      </c>
      <c r="T19" s="30">
        <f>'14'!$J$17</f>
        <v>0.95579450418160095</v>
      </c>
      <c r="U19" s="30">
        <f>'14'!$K$17</f>
        <v>0.95589988081048871</v>
      </c>
      <c r="V19" s="30">
        <f>'14'!$L$17</f>
        <v>0.955952380952381</v>
      </c>
      <c r="W19" s="30">
        <f>'14'!$M$17</f>
        <v>0.95600475624256842</v>
      </c>
      <c r="X19" s="30">
        <f>'14'!$N$17</f>
        <v>0.955952380952381</v>
      </c>
    </row>
    <row r="20" spans="1:26" ht="6.75" customHeight="1" thickTop="1" x14ac:dyDescent="0.25">
      <c r="A20" s="154"/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</row>
    <row r="22" spans="1:26" x14ac:dyDescent="0.25">
      <c r="Z22" s="48" t="s">
        <v>68</v>
      </c>
    </row>
    <row r="23" spans="1:26" x14ac:dyDescent="0.25">
      <c r="Z23" s="48" t="s">
        <v>69</v>
      </c>
    </row>
    <row r="24" spans="1:26" x14ac:dyDescent="0.25">
      <c r="Z24" s="48" t="s">
        <v>70</v>
      </c>
    </row>
    <row r="25" spans="1:26" x14ac:dyDescent="0.25">
      <c r="Z25" s="48" t="s">
        <v>71</v>
      </c>
    </row>
    <row r="26" spans="1:26" x14ac:dyDescent="0.25">
      <c r="Z26" s="48" t="s">
        <v>72</v>
      </c>
    </row>
    <row r="27" spans="1:26" x14ac:dyDescent="0.25">
      <c r="Z27" s="48" t="s">
        <v>73</v>
      </c>
    </row>
    <row r="28" spans="1:26" x14ac:dyDescent="0.25">
      <c r="Z28" s="48" t="s">
        <v>74</v>
      </c>
    </row>
    <row r="29" spans="1:26" x14ac:dyDescent="0.25">
      <c r="Z29" s="48" t="s">
        <v>75</v>
      </c>
    </row>
    <row r="30" spans="1:26" x14ac:dyDescent="0.25">
      <c r="Z30" s="48" t="s">
        <v>170</v>
      </c>
    </row>
    <row r="31" spans="1:26" s="2" customFormat="1" x14ac:dyDescent="0.25">
      <c r="Z31" s="48" t="s">
        <v>266</v>
      </c>
    </row>
    <row r="32" spans="1:26" s="2" customFormat="1" x14ac:dyDescent="0.25">
      <c r="Z32" s="48" t="s">
        <v>267</v>
      </c>
    </row>
    <row r="33" spans="26:26" s="2" customFormat="1" x14ac:dyDescent="0.25">
      <c r="Z33" s="48" t="s">
        <v>268</v>
      </c>
    </row>
    <row r="34" spans="26:26" s="2" customFormat="1" x14ac:dyDescent="0.25">
      <c r="Z34" s="48" t="s">
        <v>265</v>
      </c>
    </row>
    <row r="35" spans="26:26" x14ac:dyDescent="0.25">
      <c r="Z35" s="48" t="s">
        <v>76</v>
      </c>
    </row>
    <row r="36" spans="26:26" x14ac:dyDescent="0.25">
      <c r="Z36" s="48" t="s">
        <v>77</v>
      </c>
    </row>
    <row r="37" spans="26:26" x14ac:dyDescent="0.25">
      <c r="Z37" s="48" t="s">
        <v>78</v>
      </c>
    </row>
    <row r="38" spans="26:26" x14ac:dyDescent="0.25">
      <c r="Z38" s="48" t="s">
        <v>79</v>
      </c>
    </row>
    <row r="40" spans="26:26" x14ac:dyDescent="0.25">
      <c r="Z40" s="48" t="s">
        <v>80</v>
      </c>
    </row>
    <row r="41" spans="26:26" x14ac:dyDescent="0.25">
      <c r="Z41" s="48" t="s">
        <v>56</v>
      </c>
    </row>
    <row r="42" spans="26:26" x14ac:dyDescent="0.25">
      <c r="Z42" s="48" t="s">
        <v>57</v>
      </c>
    </row>
    <row r="44" spans="26:26" x14ac:dyDescent="0.25">
      <c r="Z44" s="47" t="s">
        <v>4</v>
      </c>
    </row>
    <row r="45" spans="26:26" x14ac:dyDescent="0.25">
      <c r="Z45" s="47" t="s">
        <v>63</v>
      </c>
    </row>
    <row r="46" spans="26:26" x14ac:dyDescent="0.25">
      <c r="Z46" s="47" t="s">
        <v>53</v>
      </c>
    </row>
    <row r="47" spans="26:26" x14ac:dyDescent="0.25">
      <c r="Z47" s="47" t="s">
        <v>64</v>
      </c>
    </row>
    <row r="48" spans="26:26" x14ac:dyDescent="0.25">
      <c r="Z48" s="47" t="s">
        <v>65</v>
      </c>
    </row>
    <row r="49" spans="26:26" x14ac:dyDescent="0.25">
      <c r="Z49" s="47" t="s">
        <v>52</v>
      </c>
    </row>
  </sheetData>
  <sheetProtection algorithmName="SHA-512" hashValue="oOL3LwF8J43BwtVZ33QFV2JD4ZfqG56MgZ8O4zveFFwN/Elq32kTQmtzl7NkozIWITJrW2RLCwf9A7hvaFu95w==" saltValue="xlKNtWRbcfd/l3vA0vRI9A==" spinCount="100000" sheet="1" objects="1" scenarios="1"/>
  <mergeCells count="15">
    <mergeCell ref="A20:X20"/>
    <mergeCell ref="D1:X1"/>
    <mergeCell ref="D2:X2"/>
    <mergeCell ref="A1:C2"/>
    <mergeCell ref="A4:B5"/>
    <mergeCell ref="J4:J5"/>
    <mergeCell ref="K4:K5"/>
    <mergeCell ref="L4:X4"/>
    <mergeCell ref="C4:C5"/>
    <mergeCell ref="D4:D5"/>
    <mergeCell ref="E4:E5"/>
    <mergeCell ref="G4:I4"/>
    <mergeCell ref="A3:I3"/>
    <mergeCell ref="J3:X3"/>
    <mergeCell ref="F4:F5"/>
  </mergeCells>
  <conditionalFormatting sqref="L7:X7">
    <cfRule type="cellIs" dxfId="29" priority="31" operator="between">
      <formula>0.71</formula>
      <formula>100000</formula>
    </cfRule>
    <cfRule type="cellIs" dxfId="28" priority="32" operator="between">
      <formula>0.6</formula>
      <formula>0.709</formula>
    </cfRule>
    <cfRule type="cellIs" dxfId="27" priority="33" operator="between">
      <formula>0</formula>
      <formula>0.599</formula>
    </cfRule>
  </conditionalFormatting>
  <conditionalFormatting sqref="L8:X8">
    <cfRule type="cellIs" dxfId="26" priority="28" operator="between">
      <formula>45</formula>
      <formula>1000000000</formula>
    </cfRule>
    <cfRule type="cellIs" dxfId="25" priority="29" operator="between">
      <formula>31</formula>
      <formula>44.9</formula>
    </cfRule>
    <cfRule type="cellIs" dxfId="24" priority="30" operator="between">
      <formula>0</formula>
      <formula>30.9</formula>
    </cfRule>
  </conditionalFormatting>
  <conditionalFormatting sqref="L9:X13">
    <cfRule type="cellIs" dxfId="23" priority="25" operator="between">
      <formula>0.8</formula>
      <formula>10000000</formula>
    </cfRule>
    <cfRule type="cellIs" dxfId="22" priority="26" operator="between">
      <formula>0.6</formula>
      <formula>0.799</formula>
    </cfRule>
    <cfRule type="cellIs" dxfId="21" priority="27" operator="between">
      <formula>0</formula>
      <formula>0.599</formula>
    </cfRule>
  </conditionalFormatting>
  <conditionalFormatting sqref="L14:X14">
    <cfRule type="cellIs" dxfId="20" priority="22" operator="between">
      <formula>0.081</formula>
      <formula>100000000</formula>
    </cfRule>
    <cfRule type="cellIs" dxfId="19" priority="23" operator="between">
      <formula>0.05</formula>
      <formula>0.08</formula>
    </cfRule>
    <cfRule type="cellIs" dxfId="18" priority="24" operator="between">
      <formula>0</formula>
      <formula>0.049</formula>
    </cfRule>
  </conditionalFormatting>
  <conditionalFormatting sqref="L15:X15">
    <cfRule type="cellIs" dxfId="17" priority="19" operator="between">
      <formula>0.501</formula>
      <formula>1000000</formula>
    </cfRule>
    <cfRule type="cellIs" dxfId="16" priority="20" operator="between">
      <formula>0.3</formula>
      <formula>0.5</formula>
    </cfRule>
    <cfRule type="cellIs" dxfId="15" priority="21" operator="between">
      <formula>0</formula>
      <formula>0.299</formula>
    </cfRule>
  </conditionalFormatting>
  <conditionalFormatting sqref="L16:X16">
    <cfRule type="cellIs" dxfId="14" priority="16" operator="between">
      <formula>0.8</formula>
      <formula>1000000</formula>
    </cfRule>
    <cfRule type="cellIs" dxfId="13" priority="17" operator="between">
      <formula>0.6</formula>
      <formula>0.799</formula>
    </cfRule>
    <cfRule type="cellIs" dxfId="12" priority="18" operator="between">
      <formula>0</formula>
      <formula>0.599</formula>
    </cfRule>
  </conditionalFormatting>
  <conditionalFormatting sqref="L17:X17 L19:X19">
    <cfRule type="cellIs" dxfId="11" priority="13" operator="between">
      <formula>0.91</formula>
      <formula>10000000</formula>
    </cfRule>
    <cfRule type="cellIs" dxfId="10" priority="14" operator="between">
      <formula>0.71</formula>
      <formula>0.909</formula>
    </cfRule>
    <cfRule type="cellIs" dxfId="9" priority="15" operator="between">
      <formula>0</formula>
      <formula>0.709</formula>
    </cfRule>
  </conditionalFormatting>
  <conditionalFormatting sqref="L18:X18">
    <cfRule type="cellIs" dxfId="8" priority="7" operator="between">
      <formula>0.201</formula>
      <formula>1000000</formula>
    </cfRule>
    <cfRule type="cellIs" dxfId="7" priority="8" operator="between">
      <formula>0.101</formula>
      <formula>0.2</formula>
    </cfRule>
    <cfRule type="cellIs" dxfId="6" priority="9" operator="between">
      <formula>0</formula>
      <formula>0.1</formula>
    </cfRule>
  </conditionalFormatting>
  <conditionalFormatting sqref="U14">
    <cfRule type="cellIs" dxfId="5" priority="4" operator="between">
      <formula>0.501</formula>
      <formula>1000000</formula>
    </cfRule>
    <cfRule type="cellIs" dxfId="4" priority="5" operator="between">
      <formula>0.3</formula>
      <formula>0.5</formula>
    </cfRule>
    <cfRule type="cellIs" dxfId="3" priority="6" operator="between">
      <formula>0</formula>
      <formula>0.299</formula>
    </cfRule>
  </conditionalFormatting>
  <conditionalFormatting sqref="L6:X6">
    <cfRule type="cellIs" dxfId="2" priority="1" operator="between">
      <formula>0.8</formula>
      <formula>1000000</formula>
    </cfRule>
    <cfRule type="cellIs" dxfId="1" priority="2" operator="between">
      <formula>0.59</formula>
      <formula>0.7999</formula>
    </cfRule>
    <cfRule type="cellIs" dxfId="0" priority="3" operator="lessThan">
      <formula>0.59</formula>
    </cfRule>
  </conditionalFormatting>
  <dataValidations count="3">
    <dataValidation type="list" allowBlank="1" showInputMessage="1" showErrorMessage="1" sqref="E6:E19">
      <formula1>$Z$44:$Z$49</formula1>
    </dataValidation>
    <dataValidation type="list" allowBlank="1" showInputMessage="1" showErrorMessage="1" sqref="J3:X3">
      <formula1>$Z$22:$Z$38</formula1>
    </dataValidation>
    <dataValidation type="list" allowBlank="1" showInputMessage="1" showErrorMessage="1" sqref="F6:F19">
      <formula1>$Z$40:$Z$42</formula1>
    </dataValidation>
  </dataValidations>
  <pageMargins left="0.27559055118110237" right="0.27559055118110237" top="0.19685039370078741" bottom="0.19685039370078741" header="0.31496062992125984" footer="0.11811023622047245"/>
  <pageSetup scale="75" orientation="landscape" horizontalDpi="4294967294" verticalDpi="4294967294" r:id="rId1"/>
  <headerFooter>
    <oddFooter>&amp;R&amp;8Diseñado por: Wilson Andrade González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59"/>
  <sheetViews>
    <sheetView windowProtection="1" topLeftCell="A26" zoomScaleSheetLayoutView="72" workbookViewId="0">
      <selection activeCell="F46" sqref="F46:G46"/>
    </sheetView>
  </sheetViews>
  <sheetFormatPr baseColWidth="10" defaultRowHeight="12.75" x14ac:dyDescent="0.25"/>
  <cols>
    <col min="1" max="1" width="3.85546875" style="3" customWidth="1"/>
    <col min="2" max="2" width="26.85546875" style="3" customWidth="1"/>
    <col min="3" max="11" width="7.7109375" style="3" customWidth="1"/>
    <col min="12" max="12" width="8.28515625" style="3" customWidth="1"/>
    <col min="13" max="15" width="7.7109375" style="3" customWidth="1"/>
    <col min="16" max="16" width="6.85546875" style="3" customWidth="1"/>
    <col min="17" max="18" width="6.85546875" style="3" hidden="1" customWidth="1"/>
    <col min="19" max="20" width="6.85546875" style="3" customWidth="1"/>
    <col min="21" max="21" width="9" style="3" customWidth="1"/>
    <col min="22" max="22" width="5.7109375" style="3" customWidth="1"/>
    <col min="23" max="23" width="10.42578125" style="3" customWidth="1"/>
    <col min="24" max="24" width="10" style="3" customWidth="1"/>
    <col min="25" max="257" width="11.42578125" style="3"/>
    <col min="258" max="258" width="26.85546875" style="3" customWidth="1"/>
    <col min="259" max="267" width="7.7109375" style="3" customWidth="1"/>
    <col min="268" max="268" width="8.28515625" style="3" customWidth="1"/>
    <col min="269" max="271" width="7.7109375" style="3" customWidth="1"/>
    <col min="272" max="513" width="11.42578125" style="3"/>
    <col min="514" max="514" width="26.85546875" style="3" customWidth="1"/>
    <col min="515" max="523" width="7.7109375" style="3" customWidth="1"/>
    <col min="524" max="524" width="8.28515625" style="3" customWidth="1"/>
    <col min="525" max="527" width="7.7109375" style="3" customWidth="1"/>
    <col min="528" max="769" width="11.42578125" style="3"/>
    <col min="770" max="770" width="26.85546875" style="3" customWidth="1"/>
    <col min="771" max="779" width="7.7109375" style="3" customWidth="1"/>
    <col min="780" max="780" width="8.28515625" style="3" customWidth="1"/>
    <col min="781" max="783" width="7.7109375" style="3" customWidth="1"/>
    <col min="784" max="1025" width="11.42578125" style="3"/>
    <col min="1026" max="1026" width="26.85546875" style="3" customWidth="1"/>
    <col min="1027" max="1035" width="7.7109375" style="3" customWidth="1"/>
    <col min="1036" max="1036" width="8.28515625" style="3" customWidth="1"/>
    <col min="1037" max="1039" width="7.7109375" style="3" customWidth="1"/>
    <col min="1040" max="1281" width="11.42578125" style="3"/>
    <col min="1282" max="1282" width="26.85546875" style="3" customWidth="1"/>
    <col min="1283" max="1291" width="7.7109375" style="3" customWidth="1"/>
    <col min="1292" max="1292" width="8.28515625" style="3" customWidth="1"/>
    <col min="1293" max="1295" width="7.7109375" style="3" customWidth="1"/>
    <col min="1296" max="1537" width="11.42578125" style="3"/>
    <col min="1538" max="1538" width="26.85546875" style="3" customWidth="1"/>
    <col min="1539" max="1547" width="7.7109375" style="3" customWidth="1"/>
    <col min="1548" max="1548" width="8.28515625" style="3" customWidth="1"/>
    <col min="1549" max="1551" width="7.7109375" style="3" customWidth="1"/>
    <col min="1552" max="1793" width="11.42578125" style="3"/>
    <col min="1794" max="1794" width="26.85546875" style="3" customWidth="1"/>
    <col min="1795" max="1803" width="7.7109375" style="3" customWidth="1"/>
    <col min="1804" max="1804" width="8.28515625" style="3" customWidth="1"/>
    <col min="1805" max="1807" width="7.7109375" style="3" customWidth="1"/>
    <col min="1808" max="2049" width="11.42578125" style="3"/>
    <col min="2050" max="2050" width="26.85546875" style="3" customWidth="1"/>
    <col min="2051" max="2059" width="7.7109375" style="3" customWidth="1"/>
    <col min="2060" max="2060" width="8.28515625" style="3" customWidth="1"/>
    <col min="2061" max="2063" width="7.7109375" style="3" customWidth="1"/>
    <col min="2064" max="2305" width="11.42578125" style="3"/>
    <col min="2306" max="2306" width="26.85546875" style="3" customWidth="1"/>
    <col min="2307" max="2315" width="7.7109375" style="3" customWidth="1"/>
    <col min="2316" max="2316" width="8.28515625" style="3" customWidth="1"/>
    <col min="2317" max="2319" width="7.7109375" style="3" customWidth="1"/>
    <col min="2320" max="2561" width="11.42578125" style="3"/>
    <col min="2562" max="2562" width="26.85546875" style="3" customWidth="1"/>
    <col min="2563" max="2571" width="7.7109375" style="3" customWidth="1"/>
    <col min="2572" max="2572" width="8.28515625" style="3" customWidth="1"/>
    <col min="2573" max="2575" width="7.7109375" style="3" customWidth="1"/>
    <col min="2576" max="2817" width="11.42578125" style="3"/>
    <col min="2818" max="2818" width="26.85546875" style="3" customWidth="1"/>
    <col min="2819" max="2827" width="7.7109375" style="3" customWidth="1"/>
    <col min="2828" max="2828" width="8.28515625" style="3" customWidth="1"/>
    <col min="2829" max="2831" width="7.7109375" style="3" customWidth="1"/>
    <col min="2832" max="3073" width="11.42578125" style="3"/>
    <col min="3074" max="3074" width="26.85546875" style="3" customWidth="1"/>
    <col min="3075" max="3083" width="7.7109375" style="3" customWidth="1"/>
    <col min="3084" max="3084" width="8.28515625" style="3" customWidth="1"/>
    <col min="3085" max="3087" width="7.7109375" style="3" customWidth="1"/>
    <col min="3088" max="3329" width="11.42578125" style="3"/>
    <col min="3330" max="3330" width="26.85546875" style="3" customWidth="1"/>
    <col min="3331" max="3339" width="7.7109375" style="3" customWidth="1"/>
    <col min="3340" max="3340" width="8.28515625" style="3" customWidth="1"/>
    <col min="3341" max="3343" width="7.7109375" style="3" customWidth="1"/>
    <col min="3344" max="3585" width="11.42578125" style="3"/>
    <col min="3586" max="3586" width="26.85546875" style="3" customWidth="1"/>
    <col min="3587" max="3595" width="7.7109375" style="3" customWidth="1"/>
    <col min="3596" max="3596" width="8.28515625" style="3" customWidth="1"/>
    <col min="3597" max="3599" width="7.7109375" style="3" customWidth="1"/>
    <col min="3600" max="3841" width="11.42578125" style="3"/>
    <col min="3842" max="3842" width="26.85546875" style="3" customWidth="1"/>
    <col min="3843" max="3851" width="7.7109375" style="3" customWidth="1"/>
    <col min="3852" max="3852" width="8.28515625" style="3" customWidth="1"/>
    <col min="3853" max="3855" width="7.7109375" style="3" customWidth="1"/>
    <col min="3856" max="4097" width="11.42578125" style="3"/>
    <col min="4098" max="4098" width="26.85546875" style="3" customWidth="1"/>
    <col min="4099" max="4107" width="7.7109375" style="3" customWidth="1"/>
    <col min="4108" max="4108" width="8.28515625" style="3" customWidth="1"/>
    <col min="4109" max="4111" width="7.7109375" style="3" customWidth="1"/>
    <col min="4112" max="4353" width="11.42578125" style="3"/>
    <col min="4354" max="4354" width="26.85546875" style="3" customWidth="1"/>
    <col min="4355" max="4363" width="7.7109375" style="3" customWidth="1"/>
    <col min="4364" max="4364" width="8.28515625" style="3" customWidth="1"/>
    <col min="4365" max="4367" width="7.7109375" style="3" customWidth="1"/>
    <col min="4368" max="4609" width="11.42578125" style="3"/>
    <col min="4610" max="4610" width="26.85546875" style="3" customWidth="1"/>
    <col min="4611" max="4619" width="7.7109375" style="3" customWidth="1"/>
    <col min="4620" max="4620" width="8.28515625" style="3" customWidth="1"/>
    <col min="4621" max="4623" width="7.7109375" style="3" customWidth="1"/>
    <col min="4624" max="4865" width="11.42578125" style="3"/>
    <col min="4866" max="4866" width="26.85546875" style="3" customWidth="1"/>
    <col min="4867" max="4875" width="7.7109375" style="3" customWidth="1"/>
    <col min="4876" max="4876" width="8.28515625" style="3" customWidth="1"/>
    <col min="4877" max="4879" width="7.7109375" style="3" customWidth="1"/>
    <col min="4880" max="5121" width="11.42578125" style="3"/>
    <col min="5122" max="5122" width="26.85546875" style="3" customWidth="1"/>
    <col min="5123" max="5131" width="7.7109375" style="3" customWidth="1"/>
    <col min="5132" max="5132" width="8.28515625" style="3" customWidth="1"/>
    <col min="5133" max="5135" width="7.7109375" style="3" customWidth="1"/>
    <col min="5136" max="5377" width="11.42578125" style="3"/>
    <col min="5378" max="5378" width="26.85546875" style="3" customWidth="1"/>
    <col min="5379" max="5387" width="7.7109375" style="3" customWidth="1"/>
    <col min="5388" max="5388" width="8.28515625" style="3" customWidth="1"/>
    <col min="5389" max="5391" width="7.7109375" style="3" customWidth="1"/>
    <col min="5392" max="5633" width="11.42578125" style="3"/>
    <col min="5634" max="5634" width="26.85546875" style="3" customWidth="1"/>
    <col min="5635" max="5643" width="7.7109375" style="3" customWidth="1"/>
    <col min="5644" max="5644" width="8.28515625" style="3" customWidth="1"/>
    <col min="5645" max="5647" width="7.7109375" style="3" customWidth="1"/>
    <col min="5648" max="5889" width="11.42578125" style="3"/>
    <col min="5890" max="5890" width="26.85546875" style="3" customWidth="1"/>
    <col min="5891" max="5899" width="7.7109375" style="3" customWidth="1"/>
    <col min="5900" max="5900" width="8.28515625" style="3" customWidth="1"/>
    <col min="5901" max="5903" width="7.7109375" style="3" customWidth="1"/>
    <col min="5904" max="6145" width="11.42578125" style="3"/>
    <col min="6146" max="6146" width="26.85546875" style="3" customWidth="1"/>
    <col min="6147" max="6155" width="7.7109375" style="3" customWidth="1"/>
    <col min="6156" max="6156" width="8.28515625" style="3" customWidth="1"/>
    <col min="6157" max="6159" width="7.7109375" style="3" customWidth="1"/>
    <col min="6160" max="6401" width="11.42578125" style="3"/>
    <col min="6402" max="6402" width="26.85546875" style="3" customWidth="1"/>
    <col min="6403" max="6411" width="7.7109375" style="3" customWidth="1"/>
    <col min="6412" max="6412" width="8.28515625" style="3" customWidth="1"/>
    <col min="6413" max="6415" width="7.7109375" style="3" customWidth="1"/>
    <col min="6416" max="6657" width="11.42578125" style="3"/>
    <col min="6658" max="6658" width="26.85546875" style="3" customWidth="1"/>
    <col min="6659" max="6667" width="7.7109375" style="3" customWidth="1"/>
    <col min="6668" max="6668" width="8.28515625" style="3" customWidth="1"/>
    <col min="6669" max="6671" width="7.7109375" style="3" customWidth="1"/>
    <col min="6672" max="6913" width="11.42578125" style="3"/>
    <col min="6914" max="6914" width="26.85546875" style="3" customWidth="1"/>
    <col min="6915" max="6923" width="7.7109375" style="3" customWidth="1"/>
    <col min="6924" max="6924" width="8.28515625" style="3" customWidth="1"/>
    <col min="6925" max="6927" width="7.7109375" style="3" customWidth="1"/>
    <col min="6928" max="7169" width="11.42578125" style="3"/>
    <col min="7170" max="7170" width="26.85546875" style="3" customWidth="1"/>
    <col min="7171" max="7179" width="7.7109375" style="3" customWidth="1"/>
    <col min="7180" max="7180" width="8.28515625" style="3" customWidth="1"/>
    <col min="7181" max="7183" width="7.7109375" style="3" customWidth="1"/>
    <col min="7184" max="7425" width="11.42578125" style="3"/>
    <col min="7426" max="7426" width="26.85546875" style="3" customWidth="1"/>
    <col min="7427" max="7435" width="7.7109375" style="3" customWidth="1"/>
    <col min="7436" max="7436" width="8.28515625" style="3" customWidth="1"/>
    <col min="7437" max="7439" width="7.7109375" style="3" customWidth="1"/>
    <col min="7440" max="7681" width="11.42578125" style="3"/>
    <col min="7682" max="7682" width="26.85546875" style="3" customWidth="1"/>
    <col min="7683" max="7691" width="7.7109375" style="3" customWidth="1"/>
    <col min="7692" max="7692" width="8.28515625" style="3" customWidth="1"/>
    <col min="7693" max="7695" width="7.7109375" style="3" customWidth="1"/>
    <col min="7696" max="7937" width="11.42578125" style="3"/>
    <col min="7938" max="7938" width="26.85546875" style="3" customWidth="1"/>
    <col min="7939" max="7947" width="7.7109375" style="3" customWidth="1"/>
    <col min="7948" max="7948" width="8.28515625" style="3" customWidth="1"/>
    <col min="7949" max="7951" width="7.7109375" style="3" customWidth="1"/>
    <col min="7952" max="8193" width="11.42578125" style="3"/>
    <col min="8194" max="8194" width="26.85546875" style="3" customWidth="1"/>
    <col min="8195" max="8203" width="7.7109375" style="3" customWidth="1"/>
    <col min="8204" max="8204" width="8.28515625" style="3" customWidth="1"/>
    <col min="8205" max="8207" width="7.7109375" style="3" customWidth="1"/>
    <col min="8208" max="8449" width="11.42578125" style="3"/>
    <col min="8450" max="8450" width="26.85546875" style="3" customWidth="1"/>
    <col min="8451" max="8459" width="7.7109375" style="3" customWidth="1"/>
    <col min="8460" max="8460" width="8.28515625" style="3" customWidth="1"/>
    <col min="8461" max="8463" width="7.7109375" style="3" customWidth="1"/>
    <col min="8464" max="8705" width="11.42578125" style="3"/>
    <col min="8706" max="8706" width="26.85546875" style="3" customWidth="1"/>
    <col min="8707" max="8715" width="7.7109375" style="3" customWidth="1"/>
    <col min="8716" max="8716" width="8.28515625" style="3" customWidth="1"/>
    <col min="8717" max="8719" width="7.7109375" style="3" customWidth="1"/>
    <col min="8720" max="8961" width="11.42578125" style="3"/>
    <col min="8962" max="8962" width="26.85546875" style="3" customWidth="1"/>
    <col min="8963" max="8971" width="7.7109375" style="3" customWidth="1"/>
    <col min="8972" max="8972" width="8.28515625" style="3" customWidth="1"/>
    <col min="8973" max="8975" width="7.7109375" style="3" customWidth="1"/>
    <col min="8976" max="9217" width="11.42578125" style="3"/>
    <col min="9218" max="9218" width="26.85546875" style="3" customWidth="1"/>
    <col min="9219" max="9227" width="7.7109375" style="3" customWidth="1"/>
    <col min="9228" max="9228" width="8.28515625" style="3" customWidth="1"/>
    <col min="9229" max="9231" width="7.7109375" style="3" customWidth="1"/>
    <col min="9232" max="9473" width="11.42578125" style="3"/>
    <col min="9474" max="9474" width="26.85546875" style="3" customWidth="1"/>
    <col min="9475" max="9483" width="7.7109375" style="3" customWidth="1"/>
    <col min="9484" max="9484" width="8.28515625" style="3" customWidth="1"/>
    <col min="9485" max="9487" width="7.7109375" style="3" customWidth="1"/>
    <col min="9488" max="9729" width="11.42578125" style="3"/>
    <col min="9730" max="9730" width="26.85546875" style="3" customWidth="1"/>
    <col min="9731" max="9739" width="7.7109375" style="3" customWidth="1"/>
    <col min="9740" max="9740" width="8.28515625" style="3" customWidth="1"/>
    <col min="9741" max="9743" width="7.7109375" style="3" customWidth="1"/>
    <col min="9744" max="9985" width="11.42578125" style="3"/>
    <col min="9986" max="9986" width="26.85546875" style="3" customWidth="1"/>
    <col min="9987" max="9995" width="7.7109375" style="3" customWidth="1"/>
    <col min="9996" max="9996" width="8.28515625" style="3" customWidth="1"/>
    <col min="9997" max="9999" width="7.7109375" style="3" customWidth="1"/>
    <col min="10000" max="10241" width="11.42578125" style="3"/>
    <col min="10242" max="10242" width="26.85546875" style="3" customWidth="1"/>
    <col min="10243" max="10251" width="7.7109375" style="3" customWidth="1"/>
    <col min="10252" max="10252" width="8.28515625" style="3" customWidth="1"/>
    <col min="10253" max="10255" width="7.7109375" style="3" customWidth="1"/>
    <col min="10256" max="10497" width="11.42578125" style="3"/>
    <col min="10498" max="10498" width="26.85546875" style="3" customWidth="1"/>
    <col min="10499" max="10507" width="7.7109375" style="3" customWidth="1"/>
    <col min="10508" max="10508" width="8.28515625" style="3" customWidth="1"/>
    <col min="10509" max="10511" width="7.7109375" style="3" customWidth="1"/>
    <col min="10512" max="10753" width="11.42578125" style="3"/>
    <col min="10754" max="10754" width="26.85546875" style="3" customWidth="1"/>
    <col min="10755" max="10763" width="7.7109375" style="3" customWidth="1"/>
    <col min="10764" max="10764" width="8.28515625" style="3" customWidth="1"/>
    <col min="10765" max="10767" width="7.7109375" style="3" customWidth="1"/>
    <col min="10768" max="11009" width="11.42578125" style="3"/>
    <col min="11010" max="11010" width="26.85546875" style="3" customWidth="1"/>
    <col min="11011" max="11019" width="7.7109375" style="3" customWidth="1"/>
    <col min="11020" max="11020" width="8.28515625" style="3" customWidth="1"/>
    <col min="11021" max="11023" width="7.7109375" style="3" customWidth="1"/>
    <col min="11024" max="11265" width="11.42578125" style="3"/>
    <col min="11266" max="11266" width="26.85546875" style="3" customWidth="1"/>
    <col min="11267" max="11275" width="7.7109375" style="3" customWidth="1"/>
    <col min="11276" max="11276" width="8.28515625" style="3" customWidth="1"/>
    <col min="11277" max="11279" width="7.7109375" style="3" customWidth="1"/>
    <col min="11280" max="11521" width="11.42578125" style="3"/>
    <col min="11522" max="11522" width="26.85546875" style="3" customWidth="1"/>
    <col min="11523" max="11531" width="7.7109375" style="3" customWidth="1"/>
    <col min="11532" max="11532" width="8.28515625" style="3" customWidth="1"/>
    <col min="11533" max="11535" width="7.7109375" style="3" customWidth="1"/>
    <col min="11536" max="11777" width="11.42578125" style="3"/>
    <col min="11778" max="11778" width="26.85546875" style="3" customWidth="1"/>
    <col min="11779" max="11787" width="7.7109375" style="3" customWidth="1"/>
    <col min="11788" max="11788" width="8.28515625" style="3" customWidth="1"/>
    <col min="11789" max="11791" width="7.7109375" style="3" customWidth="1"/>
    <col min="11792" max="12033" width="11.42578125" style="3"/>
    <col min="12034" max="12034" width="26.85546875" style="3" customWidth="1"/>
    <col min="12035" max="12043" width="7.7109375" style="3" customWidth="1"/>
    <col min="12044" max="12044" width="8.28515625" style="3" customWidth="1"/>
    <col min="12045" max="12047" width="7.7109375" style="3" customWidth="1"/>
    <col min="12048" max="12289" width="11.42578125" style="3"/>
    <col min="12290" max="12290" width="26.85546875" style="3" customWidth="1"/>
    <col min="12291" max="12299" width="7.7109375" style="3" customWidth="1"/>
    <col min="12300" max="12300" width="8.28515625" style="3" customWidth="1"/>
    <col min="12301" max="12303" width="7.7109375" style="3" customWidth="1"/>
    <col min="12304" max="12545" width="11.42578125" style="3"/>
    <col min="12546" max="12546" width="26.85546875" style="3" customWidth="1"/>
    <col min="12547" max="12555" width="7.7109375" style="3" customWidth="1"/>
    <col min="12556" max="12556" width="8.28515625" style="3" customWidth="1"/>
    <col min="12557" max="12559" width="7.7109375" style="3" customWidth="1"/>
    <col min="12560" max="12801" width="11.42578125" style="3"/>
    <col min="12802" max="12802" width="26.85546875" style="3" customWidth="1"/>
    <col min="12803" max="12811" width="7.7109375" style="3" customWidth="1"/>
    <col min="12812" max="12812" width="8.28515625" style="3" customWidth="1"/>
    <col min="12813" max="12815" width="7.7109375" style="3" customWidth="1"/>
    <col min="12816" max="13057" width="11.42578125" style="3"/>
    <col min="13058" max="13058" width="26.85546875" style="3" customWidth="1"/>
    <col min="13059" max="13067" width="7.7109375" style="3" customWidth="1"/>
    <col min="13068" max="13068" width="8.28515625" style="3" customWidth="1"/>
    <col min="13069" max="13071" width="7.7109375" style="3" customWidth="1"/>
    <col min="13072" max="13313" width="11.42578125" style="3"/>
    <col min="13314" max="13314" width="26.85546875" style="3" customWidth="1"/>
    <col min="13315" max="13323" width="7.7109375" style="3" customWidth="1"/>
    <col min="13324" max="13324" width="8.28515625" style="3" customWidth="1"/>
    <col min="13325" max="13327" width="7.7109375" style="3" customWidth="1"/>
    <col min="13328" max="13569" width="11.42578125" style="3"/>
    <col min="13570" max="13570" width="26.85546875" style="3" customWidth="1"/>
    <col min="13571" max="13579" width="7.7109375" style="3" customWidth="1"/>
    <col min="13580" max="13580" width="8.28515625" style="3" customWidth="1"/>
    <col min="13581" max="13583" width="7.7109375" style="3" customWidth="1"/>
    <col min="13584" max="13825" width="11.42578125" style="3"/>
    <col min="13826" max="13826" width="26.85546875" style="3" customWidth="1"/>
    <col min="13827" max="13835" width="7.7109375" style="3" customWidth="1"/>
    <col min="13836" max="13836" width="8.28515625" style="3" customWidth="1"/>
    <col min="13837" max="13839" width="7.7109375" style="3" customWidth="1"/>
    <col min="13840" max="14081" width="11.42578125" style="3"/>
    <col min="14082" max="14082" width="26.85546875" style="3" customWidth="1"/>
    <col min="14083" max="14091" width="7.7109375" style="3" customWidth="1"/>
    <col min="14092" max="14092" width="8.28515625" style="3" customWidth="1"/>
    <col min="14093" max="14095" width="7.7109375" style="3" customWidth="1"/>
    <col min="14096" max="14337" width="11.42578125" style="3"/>
    <col min="14338" max="14338" width="26.85546875" style="3" customWidth="1"/>
    <col min="14339" max="14347" width="7.7109375" style="3" customWidth="1"/>
    <col min="14348" max="14348" width="8.28515625" style="3" customWidth="1"/>
    <col min="14349" max="14351" width="7.7109375" style="3" customWidth="1"/>
    <col min="14352" max="14593" width="11.42578125" style="3"/>
    <col min="14594" max="14594" width="26.85546875" style="3" customWidth="1"/>
    <col min="14595" max="14603" width="7.7109375" style="3" customWidth="1"/>
    <col min="14604" max="14604" width="8.28515625" style="3" customWidth="1"/>
    <col min="14605" max="14607" width="7.7109375" style="3" customWidth="1"/>
    <col min="14608" max="14849" width="11.42578125" style="3"/>
    <col min="14850" max="14850" width="26.85546875" style="3" customWidth="1"/>
    <col min="14851" max="14859" width="7.7109375" style="3" customWidth="1"/>
    <col min="14860" max="14860" width="8.28515625" style="3" customWidth="1"/>
    <col min="14861" max="14863" width="7.7109375" style="3" customWidth="1"/>
    <col min="14864" max="15105" width="11.42578125" style="3"/>
    <col min="15106" max="15106" width="26.85546875" style="3" customWidth="1"/>
    <col min="15107" max="15115" width="7.7109375" style="3" customWidth="1"/>
    <col min="15116" max="15116" width="8.28515625" style="3" customWidth="1"/>
    <col min="15117" max="15119" width="7.7109375" style="3" customWidth="1"/>
    <col min="15120" max="15361" width="11.42578125" style="3"/>
    <col min="15362" max="15362" width="26.85546875" style="3" customWidth="1"/>
    <col min="15363" max="15371" width="7.7109375" style="3" customWidth="1"/>
    <col min="15372" max="15372" width="8.28515625" style="3" customWidth="1"/>
    <col min="15373" max="15375" width="7.7109375" style="3" customWidth="1"/>
    <col min="15376" max="15617" width="11.42578125" style="3"/>
    <col min="15618" max="15618" width="26.85546875" style="3" customWidth="1"/>
    <col min="15619" max="15627" width="7.7109375" style="3" customWidth="1"/>
    <col min="15628" max="15628" width="8.28515625" style="3" customWidth="1"/>
    <col min="15629" max="15631" width="7.7109375" style="3" customWidth="1"/>
    <col min="15632" max="15873" width="11.42578125" style="3"/>
    <col min="15874" max="15874" width="26.85546875" style="3" customWidth="1"/>
    <col min="15875" max="15883" width="7.7109375" style="3" customWidth="1"/>
    <col min="15884" max="15884" width="8.28515625" style="3" customWidth="1"/>
    <col min="15885" max="15887" width="7.7109375" style="3" customWidth="1"/>
    <col min="15888" max="16129" width="11.42578125" style="3"/>
    <col min="16130" max="16130" width="26.85546875" style="3" customWidth="1"/>
    <col min="16131" max="16139" width="7.7109375" style="3" customWidth="1"/>
    <col min="16140" max="16140" width="8.28515625" style="3" customWidth="1"/>
    <col min="16141" max="16143" width="7.7109375" style="3" customWidth="1"/>
    <col min="16144" max="16384" width="11.42578125" style="3"/>
  </cols>
  <sheetData>
    <row r="1" spans="1:24" ht="20.25" customHeight="1" x14ac:dyDescent="0.25">
      <c r="A1" s="247"/>
      <c r="B1" s="248"/>
      <c r="C1" s="249"/>
      <c r="D1" s="243" t="s">
        <v>20</v>
      </c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4"/>
    </row>
    <row r="2" spans="1:24" ht="15.75" customHeight="1" thickBot="1" x14ac:dyDescent="0.3">
      <c r="A2" s="250"/>
      <c r="B2" s="251"/>
      <c r="C2" s="252"/>
      <c r="D2" s="245" t="s">
        <v>67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6"/>
    </row>
    <row r="3" spans="1:24" ht="13.5" customHeight="1" x14ac:dyDescent="0.25">
      <c r="A3" s="253" t="s">
        <v>0</v>
      </c>
      <c r="B3" s="254"/>
      <c r="C3" s="254"/>
      <c r="D3" s="254"/>
      <c r="E3" s="254"/>
      <c r="F3" s="254" t="str">
        <f>'SET SP Nataga'!J3</f>
        <v>GESTIÓN DE SERVICIOS PÚBLICOS - NATAGA</v>
      </c>
      <c r="G3" s="254"/>
      <c r="H3" s="254"/>
      <c r="I3" s="254"/>
      <c r="J3" s="254"/>
      <c r="K3" s="254"/>
      <c r="L3" s="254"/>
      <c r="M3" s="254"/>
      <c r="N3" s="254"/>
      <c r="O3" s="255"/>
    </row>
    <row r="4" spans="1:24" ht="15.75" customHeight="1" x14ac:dyDescent="0.25">
      <c r="A4" s="235" t="s">
        <v>1</v>
      </c>
      <c r="B4" s="236"/>
      <c r="C4" s="236"/>
      <c r="D4" s="236"/>
      <c r="E4" s="236"/>
      <c r="F4" s="256" t="str">
        <f>'SET SP Nataga'!$B14</f>
        <v>Calidad del Agua</v>
      </c>
      <c r="G4" s="256"/>
      <c r="H4" s="256"/>
      <c r="I4" s="256"/>
      <c r="J4" s="256"/>
      <c r="K4" s="256"/>
      <c r="L4" s="256"/>
      <c r="M4" s="256"/>
      <c r="N4" s="256"/>
      <c r="O4" s="277"/>
    </row>
    <row r="5" spans="1:24" ht="15.75" customHeight="1" x14ac:dyDescent="0.25">
      <c r="A5" s="235" t="s">
        <v>55</v>
      </c>
      <c r="B5" s="236"/>
      <c r="C5" s="236"/>
      <c r="D5" s="236"/>
      <c r="E5" s="236"/>
      <c r="F5" s="238" t="str">
        <f>'SET SP Nataga'!F14</f>
        <v xml:space="preserve">Eficiencia </v>
      </c>
      <c r="G5" s="239"/>
      <c r="H5" s="239"/>
      <c r="I5" s="239"/>
      <c r="J5" s="239"/>
      <c r="K5" s="239"/>
      <c r="L5" s="239"/>
      <c r="M5" s="239"/>
      <c r="N5" s="239"/>
      <c r="O5" s="240"/>
    </row>
    <row r="6" spans="1:24" ht="17.25" customHeight="1" thickBot="1" x14ac:dyDescent="0.3">
      <c r="A6" s="259" t="s">
        <v>21</v>
      </c>
      <c r="B6" s="260"/>
      <c r="C6" s="260"/>
      <c r="D6" s="260"/>
      <c r="E6" s="260"/>
      <c r="F6" s="26" t="s">
        <v>94</v>
      </c>
      <c r="G6" s="261" t="str">
        <f>'SET SP Nataga'!A14</f>
        <v>IN09</v>
      </c>
      <c r="H6" s="261"/>
      <c r="I6" s="261"/>
      <c r="J6" s="261"/>
      <c r="K6" s="261"/>
      <c r="L6" s="261"/>
      <c r="M6" s="261"/>
      <c r="N6" s="261"/>
      <c r="O6" s="276"/>
    </row>
    <row r="7" spans="1:24" ht="12.75" customHeight="1" x14ac:dyDescent="0.25">
      <c r="A7" s="264" t="s">
        <v>22</v>
      </c>
      <c r="B7" s="265"/>
      <c r="C7" s="265"/>
      <c r="D7" s="265"/>
      <c r="E7" s="230" t="s">
        <v>23</v>
      </c>
      <c r="F7" s="230" t="s">
        <v>24</v>
      </c>
      <c r="G7" s="230"/>
      <c r="H7" s="230" t="s">
        <v>25</v>
      </c>
      <c r="I7" s="230" t="s">
        <v>26</v>
      </c>
      <c r="J7" s="230" t="s">
        <v>27</v>
      </c>
      <c r="K7" s="230"/>
      <c r="L7" s="232" t="s">
        <v>28</v>
      </c>
      <c r="M7" s="232"/>
      <c r="N7" s="232"/>
      <c r="O7" s="233"/>
    </row>
    <row r="8" spans="1:24" ht="46.5" customHeight="1" x14ac:dyDescent="0.25">
      <c r="A8" s="266"/>
      <c r="B8" s="234"/>
      <c r="C8" s="234"/>
      <c r="D8" s="234"/>
      <c r="E8" s="231"/>
      <c r="F8" s="231"/>
      <c r="G8" s="231"/>
      <c r="H8" s="231"/>
      <c r="I8" s="231"/>
      <c r="J8" s="231"/>
      <c r="K8" s="231"/>
      <c r="L8" s="234" t="s">
        <v>29</v>
      </c>
      <c r="M8" s="234"/>
      <c r="N8" s="234" t="s">
        <v>30</v>
      </c>
      <c r="O8" s="237"/>
    </row>
    <row r="9" spans="1:24" ht="39" customHeight="1" thickBot="1" x14ac:dyDescent="0.3">
      <c r="A9" s="206" t="str">
        <f>'SET SP Nataga'!$C14</f>
        <v>Monitorear la calidad de agua suministrada a los usuarios por parte de Aguas de Huila.</v>
      </c>
      <c r="B9" s="207"/>
      <c r="C9" s="207"/>
      <c r="D9" s="207"/>
      <c r="E9" s="17" t="s">
        <v>35</v>
      </c>
      <c r="F9" s="288" t="str">
        <f>'SET SP Nataga'!$D14</f>
        <v xml:space="preserve">Medición de acuerdo al IRCA          </v>
      </c>
      <c r="G9" s="290"/>
      <c r="H9" s="14">
        <f>$O16</f>
        <v>0</v>
      </c>
      <c r="I9" s="28" t="str">
        <f>'SET SP Nataga'!$E14</f>
        <v>Trimestral</v>
      </c>
      <c r="J9" s="208" t="s">
        <v>89</v>
      </c>
      <c r="K9" s="209"/>
      <c r="L9" s="209"/>
      <c r="M9" s="209"/>
      <c r="N9" s="209"/>
      <c r="O9" s="210"/>
    </row>
    <row r="10" spans="1:24" ht="13.5" customHeight="1" x14ac:dyDescent="0.25">
      <c r="A10" s="216" t="s">
        <v>38</v>
      </c>
      <c r="B10" s="217"/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8"/>
    </row>
    <row r="11" spans="1:24" ht="21.75" customHeight="1" thickBot="1" x14ac:dyDescent="0.3">
      <c r="A11" s="219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1"/>
    </row>
    <row r="12" spans="1:24" ht="15" customHeight="1" thickBot="1" x14ac:dyDescent="0.3">
      <c r="A12" s="281" t="s">
        <v>31</v>
      </c>
      <c r="B12" s="282"/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3"/>
      <c r="V12" s="9"/>
      <c r="W12" s="27"/>
      <c r="X12" s="27"/>
    </row>
    <row r="13" spans="1:24" ht="16.5" customHeight="1" x14ac:dyDescent="0.25">
      <c r="A13" s="225" t="s">
        <v>273</v>
      </c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7"/>
      <c r="V13" s="9"/>
      <c r="W13" s="10"/>
      <c r="X13" s="10"/>
    </row>
    <row r="14" spans="1:24" ht="16.5" customHeight="1" x14ac:dyDescent="0.25">
      <c r="A14" s="228" t="s">
        <v>32</v>
      </c>
      <c r="B14" s="229"/>
      <c r="C14" s="135" t="s">
        <v>8</v>
      </c>
      <c r="D14" s="135" t="s">
        <v>9</v>
      </c>
      <c r="E14" s="135" t="s">
        <v>10</v>
      </c>
      <c r="F14" s="135" t="s">
        <v>11</v>
      </c>
      <c r="G14" s="135" t="s">
        <v>12</v>
      </c>
      <c r="H14" s="135" t="s">
        <v>13</v>
      </c>
      <c r="I14" s="135" t="s">
        <v>14</v>
      </c>
      <c r="J14" s="135" t="s">
        <v>15</v>
      </c>
      <c r="K14" s="135" t="s">
        <v>16</v>
      </c>
      <c r="L14" s="135" t="s">
        <v>17</v>
      </c>
      <c r="M14" s="135" t="s">
        <v>18</v>
      </c>
      <c r="N14" s="135" t="s">
        <v>19</v>
      </c>
      <c r="O14" s="6" t="s">
        <v>33</v>
      </c>
      <c r="V14" s="9"/>
      <c r="W14" s="10"/>
      <c r="X14" s="10"/>
    </row>
    <row r="15" spans="1:24" ht="16.5" customHeight="1" x14ac:dyDescent="0.25">
      <c r="A15" s="183" t="s">
        <v>39</v>
      </c>
      <c r="B15" s="184"/>
      <c r="C15" s="139">
        <f t="shared" ref="C15:N15" si="0">$O$15</f>
        <v>0</v>
      </c>
      <c r="D15" s="139">
        <f t="shared" si="0"/>
        <v>0</v>
      </c>
      <c r="E15" s="139">
        <f t="shared" si="0"/>
        <v>0</v>
      </c>
      <c r="F15" s="139">
        <f t="shared" si="0"/>
        <v>0</v>
      </c>
      <c r="G15" s="139">
        <f t="shared" si="0"/>
        <v>0</v>
      </c>
      <c r="H15" s="139">
        <f t="shared" si="0"/>
        <v>0</v>
      </c>
      <c r="I15" s="139">
        <f t="shared" si="0"/>
        <v>0</v>
      </c>
      <c r="J15" s="139">
        <f t="shared" si="0"/>
        <v>0</v>
      </c>
      <c r="K15" s="139">
        <f t="shared" si="0"/>
        <v>0</v>
      </c>
      <c r="L15" s="139">
        <f t="shared" si="0"/>
        <v>0</v>
      </c>
      <c r="M15" s="139">
        <f t="shared" si="0"/>
        <v>0</v>
      </c>
      <c r="N15" s="139">
        <f t="shared" si="0"/>
        <v>0</v>
      </c>
      <c r="O15" s="138">
        <f>'SET SP Nataga'!J14</f>
        <v>0</v>
      </c>
      <c r="V15" s="9"/>
      <c r="W15" s="10"/>
      <c r="X15" s="10"/>
    </row>
    <row r="16" spans="1:24" ht="17.25" customHeight="1" x14ac:dyDescent="0.25">
      <c r="A16" s="183" t="s">
        <v>272</v>
      </c>
      <c r="B16" s="184"/>
      <c r="C16" s="139">
        <f t="shared" ref="C16:N16" si="1">$O$16</f>
        <v>0</v>
      </c>
      <c r="D16" s="139">
        <f t="shared" si="1"/>
        <v>0</v>
      </c>
      <c r="E16" s="139">
        <f t="shared" si="1"/>
        <v>0</v>
      </c>
      <c r="F16" s="139">
        <f t="shared" si="1"/>
        <v>0</v>
      </c>
      <c r="G16" s="139">
        <f t="shared" si="1"/>
        <v>0</v>
      </c>
      <c r="H16" s="139">
        <f t="shared" si="1"/>
        <v>0</v>
      </c>
      <c r="I16" s="139">
        <f t="shared" si="1"/>
        <v>0</v>
      </c>
      <c r="J16" s="139">
        <f t="shared" si="1"/>
        <v>0</v>
      </c>
      <c r="K16" s="139">
        <f t="shared" si="1"/>
        <v>0</v>
      </c>
      <c r="L16" s="139">
        <f t="shared" si="1"/>
        <v>0</v>
      </c>
      <c r="M16" s="139">
        <f t="shared" si="1"/>
        <v>0</v>
      </c>
      <c r="N16" s="139">
        <f t="shared" si="1"/>
        <v>0</v>
      </c>
      <c r="O16" s="138">
        <f>'SET SP Nataga'!K14</f>
        <v>0</v>
      </c>
      <c r="V16" s="9"/>
      <c r="W16" s="10"/>
      <c r="X16" s="10"/>
    </row>
    <row r="17" spans="1:24" ht="17.25" customHeight="1" x14ac:dyDescent="0.25">
      <c r="A17" s="187" t="s">
        <v>263</v>
      </c>
      <c r="B17" s="188"/>
      <c r="C17" s="12" t="str">
        <f>IF((C18),C18,"-")</f>
        <v>-</v>
      </c>
      <c r="D17" s="12" t="str">
        <f>IF((D18),D18,"-")</f>
        <v>-</v>
      </c>
      <c r="E17" s="12" t="str">
        <f t="shared" ref="E17:N17" si="2">IF((E18),E18,"-")</f>
        <v>-</v>
      </c>
      <c r="F17" s="12" t="str">
        <f t="shared" si="2"/>
        <v>-</v>
      </c>
      <c r="G17" s="12" t="str">
        <f t="shared" si="2"/>
        <v>-</v>
      </c>
      <c r="H17" s="12" t="str">
        <f t="shared" si="2"/>
        <v>-</v>
      </c>
      <c r="I17" s="12" t="str">
        <f t="shared" si="2"/>
        <v>-</v>
      </c>
      <c r="J17" s="12" t="str">
        <f t="shared" si="2"/>
        <v>-</v>
      </c>
      <c r="K17" s="12" t="str">
        <f t="shared" si="2"/>
        <v>-</v>
      </c>
      <c r="L17" s="12" t="str">
        <f t="shared" si="2"/>
        <v>-</v>
      </c>
      <c r="M17" s="12" t="str">
        <f t="shared" si="2"/>
        <v>-</v>
      </c>
      <c r="N17" s="12" t="str">
        <f t="shared" si="2"/>
        <v>-</v>
      </c>
      <c r="O17" s="13" t="str">
        <f>IF(ISNUMBER(O18),O18,"-")</f>
        <v>-</v>
      </c>
      <c r="V17" s="9"/>
      <c r="W17" s="10"/>
      <c r="X17" s="10"/>
    </row>
    <row r="18" spans="1:24" ht="23.25" customHeight="1" x14ac:dyDescent="0.25">
      <c r="A18" s="189" t="s">
        <v>37</v>
      </c>
      <c r="B18" s="39" t="s">
        <v>140</v>
      </c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0" t="e">
        <f>AVERAGE(C18:N18)</f>
        <v>#DIV/0!</v>
      </c>
      <c r="V18" s="9"/>
      <c r="W18" s="10"/>
      <c r="X18" s="10"/>
    </row>
    <row r="19" spans="1:24" ht="21" customHeight="1" x14ac:dyDescent="0.25">
      <c r="A19" s="189"/>
      <c r="B19" s="134"/>
      <c r="C19" s="58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19"/>
      <c r="V19" s="9"/>
      <c r="W19" s="10"/>
      <c r="X19" s="10"/>
    </row>
    <row r="20" spans="1:24" ht="17.25" customHeight="1" x14ac:dyDescent="0.25">
      <c r="A20" s="189"/>
      <c r="B20" s="13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19"/>
      <c r="V20" s="9"/>
      <c r="W20" s="10"/>
      <c r="X20" s="10"/>
    </row>
    <row r="21" spans="1:24" ht="18" customHeight="1" thickBot="1" x14ac:dyDescent="0.3">
      <c r="A21" s="190"/>
      <c r="B21" s="136" t="s">
        <v>3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20"/>
      <c r="V21" s="9"/>
      <c r="W21" s="10"/>
      <c r="X21" s="10"/>
    </row>
    <row r="22" spans="1:24" ht="14.25" customHeight="1" thickBot="1" x14ac:dyDescent="0.3">
      <c r="A22" s="191" t="s">
        <v>34</v>
      </c>
      <c r="B22" s="192"/>
      <c r="C22" s="193"/>
      <c r="D22" s="180" t="str">
        <f>'SET SP Nataga'!$G14</f>
        <v>Menor al 5%</v>
      </c>
      <c r="E22" s="181"/>
      <c r="F22" s="181"/>
      <c r="G22" s="182"/>
      <c r="H22" s="180" t="str">
        <f>'SET SP Nataga'!$H14</f>
        <v>Entre el 5% y el 8%</v>
      </c>
      <c r="I22" s="181"/>
      <c r="J22" s="181"/>
      <c r="K22" s="182"/>
      <c r="L22" s="180" t="str">
        <f>'SET SP Nataga'!$I14</f>
        <v>Mayor al 8%</v>
      </c>
      <c r="M22" s="185"/>
      <c r="N22" s="185"/>
      <c r="O22" s="186"/>
      <c r="V22" s="9"/>
      <c r="W22" s="10"/>
      <c r="X22" s="10"/>
    </row>
    <row r="23" spans="1:24" ht="33" customHeight="1" thickBot="1" x14ac:dyDescent="0.3">
      <c r="A23" s="194"/>
      <c r="B23" s="195"/>
      <c r="C23" s="195"/>
      <c r="D23" s="196" t="s">
        <v>7</v>
      </c>
      <c r="E23" s="196"/>
      <c r="F23" s="196"/>
      <c r="G23" s="196"/>
      <c r="H23" s="197" t="s">
        <v>61</v>
      </c>
      <c r="I23" s="197"/>
      <c r="J23" s="197"/>
      <c r="K23" s="197"/>
      <c r="L23" s="211" t="s">
        <v>62</v>
      </c>
      <c r="M23" s="211"/>
      <c r="N23" s="211"/>
      <c r="O23" s="212"/>
      <c r="V23" s="9"/>
      <c r="W23" s="10"/>
      <c r="X23" s="10"/>
    </row>
    <row r="24" spans="1:24" ht="15.75" customHeight="1" thickBot="1" x14ac:dyDescent="0.3">
      <c r="A24" s="213" t="s">
        <v>36</v>
      </c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5"/>
      <c r="V24" s="9"/>
      <c r="W24" s="10"/>
      <c r="X24" s="10"/>
    </row>
    <row r="25" spans="1:24" ht="264.75" customHeight="1" thickBot="1" x14ac:dyDescent="0.3">
      <c r="A25" s="177"/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9"/>
      <c r="V25" s="9"/>
    </row>
    <row r="26" spans="1:24" ht="15" customHeight="1" x14ac:dyDescent="0.25">
      <c r="A26" s="198" t="s">
        <v>58</v>
      </c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200" t="s">
        <v>60</v>
      </c>
      <c r="O26" s="201"/>
    </row>
    <row r="27" spans="1:24" ht="15" x14ac:dyDescent="0.25">
      <c r="A27" s="202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41">
        <v>43101</v>
      </c>
      <c r="O27" s="242"/>
    </row>
    <row r="28" spans="1:24" ht="15" x14ac:dyDescent="0.25">
      <c r="A28" s="202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41">
        <v>43132</v>
      </c>
      <c r="O28" s="242"/>
    </row>
    <row r="29" spans="1:24" ht="15" x14ac:dyDescent="0.25">
      <c r="A29" s="202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41">
        <v>43160</v>
      </c>
      <c r="O29" s="242"/>
    </row>
    <row r="30" spans="1:24" ht="15" x14ac:dyDescent="0.25">
      <c r="A30" s="202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41">
        <v>43191</v>
      </c>
      <c r="O30" s="242"/>
    </row>
    <row r="31" spans="1:24" ht="15" x14ac:dyDescent="0.25">
      <c r="A31" s="202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41">
        <v>43221</v>
      </c>
      <c r="O31" s="242"/>
    </row>
    <row r="32" spans="1:24" ht="15" x14ac:dyDescent="0.25">
      <c r="A32" s="202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41">
        <v>43252</v>
      </c>
      <c r="O32" s="242"/>
    </row>
    <row r="33" spans="1:17" ht="15" x14ac:dyDescent="0.25">
      <c r="A33" s="202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41">
        <v>43282</v>
      </c>
      <c r="O33" s="242"/>
    </row>
    <row r="34" spans="1:17" ht="15" x14ac:dyDescent="0.25">
      <c r="A34" s="202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41">
        <v>43313</v>
      </c>
      <c r="O34" s="242"/>
    </row>
    <row r="35" spans="1:17" ht="15" x14ac:dyDescent="0.25">
      <c r="A35" s="202"/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41">
        <v>43344</v>
      </c>
      <c r="O35" s="242"/>
    </row>
    <row r="36" spans="1:17" ht="15" x14ac:dyDescent="0.25">
      <c r="A36" s="202"/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41">
        <v>43374</v>
      </c>
      <c r="O36" s="242"/>
    </row>
    <row r="37" spans="1:17" ht="15" x14ac:dyDescent="0.25">
      <c r="A37" s="202"/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41">
        <v>43405</v>
      </c>
      <c r="O37" s="242"/>
    </row>
    <row r="38" spans="1:17" ht="15.75" thickBot="1" x14ac:dyDescent="0.3">
      <c r="A38" s="202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41">
        <v>43435</v>
      </c>
      <c r="O38" s="242"/>
    </row>
    <row r="39" spans="1:17" ht="19.5" customHeight="1" x14ac:dyDescent="0.25">
      <c r="A39" s="198" t="s">
        <v>59</v>
      </c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200" t="s">
        <v>60</v>
      </c>
      <c r="O39" s="201"/>
    </row>
    <row r="40" spans="1:17" ht="15" x14ac:dyDescent="0.25">
      <c r="A40" s="202" t="s">
        <v>3</v>
      </c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4" t="s">
        <v>3</v>
      </c>
      <c r="O40" s="205"/>
    </row>
    <row r="41" spans="1:17" ht="15.75" thickBot="1" x14ac:dyDescent="0.3">
      <c r="A41" s="273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5"/>
    </row>
    <row r="42" spans="1:17" ht="5.25" customHeight="1" x14ac:dyDescent="0.25">
      <c r="A42" s="176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</row>
    <row r="44" spans="1:17" ht="14.25" x14ac:dyDescent="0.2">
      <c r="Q44" s="48" t="s">
        <v>81</v>
      </c>
    </row>
    <row r="45" spans="1:17" ht="14.25" x14ac:dyDescent="0.2">
      <c r="Q45" s="48" t="s">
        <v>82</v>
      </c>
    </row>
    <row r="46" spans="1:17" ht="14.25" x14ac:dyDescent="0.2">
      <c r="Q46" s="48" t="s">
        <v>83</v>
      </c>
    </row>
    <row r="47" spans="1:17" ht="14.25" x14ac:dyDescent="0.2">
      <c r="Q47" s="48" t="s">
        <v>84</v>
      </c>
    </row>
    <row r="48" spans="1:17" ht="14.25" x14ac:dyDescent="0.2">
      <c r="Q48" s="48" t="s">
        <v>85</v>
      </c>
    </row>
    <row r="49" spans="17:17" ht="14.25" x14ac:dyDescent="0.2">
      <c r="Q49" s="48" t="s">
        <v>86</v>
      </c>
    </row>
    <row r="50" spans="17:17" ht="14.25" x14ac:dyDescent="0.2">
      <c r="Q50" s="48" t="s">
        <v>87</v>
      </c>
    </row>
    <row r="51" spans="17:17" ht="14.25" x14ac:dyDescent="0.2">
      <c r="Q51" s="48" t="s">
        <v>88</v>
      </c>
    </row>
    <row r="52" spans="17:17" ht="14.25" x14ac:dyDescent="0.2">
      <c r="Q52" s="48" t="s">
        <v>89</v>
      </c>
    </row>
    <row r="53" spans="17:17" ht="14.25" x14ac:dyDescent="0.2">
      <c r="Q53" s="48" t="s">
        <v>90</v>
      </c>
    </row>
    <row r="54" spans="17:17" ht="14.25" x14ac:dyDescent="0.2">
      <c r="Q54" s="48" t="s">
        <v>91</v>
      </c>
    </row>
    <row r="55" spans="17:17" ht="14.25" x14ac:dyDescent="0.2">
      <c r="Q55" s="48" t="s">
        <v>92</v>
      </c>
    </row>
    <row r="56" spans="17:17" ht="14.25" x14ac:dyDescent="0.2">
      <c r="Q56" s="48" t="s">
        <v>93</v>
      </c>
    </row>
    <row r="58" spans="17:17" x14ac:dyDescent="0.25">
      <c r="Q58" s="43">
        <v>0.05</v>
      </c>
    </row>
    <row r="59" spans="17:17" x14ac:dyDescent="0.25">
      <c r="Q59" s="43">
        <v>4.9000000000000002E-2</v>
      </c>
    </row>
  </sheetData>
  <sheetProtection algorithmName="SHA-512" hashValue="/fieYyVrxpWmCHng3jbO2CEmyKethxjRvUYBz0f5FLjiK6AGYK9vCbcR01mxJnFOKN3NTmBqMuBteN1gDPgo9g==" saltValue="LmHbZmRyB3oB1IlIgLBYow==" spinCount="100000" sheet="1" objects="1" scenarios="1"/>
  <mergeCells count="74">
    <mergeCell ref="N29:O29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A34:M34"/>
    <mergeCell ref="A35:M35"/>
    <mergeCell ref="A36:M36"/>
    <mergeCell ref="A37:M37"/>
    <mergeCell ref="A38:M38"/>
    <mergeCell ref="A29:M29"/>
    <mergeCell ref="A30:M30"/>
    <mergeCell ref="A31:M31"/>
    <mergeCell ref="A32:M32"/>
    <mergeCell ref="A33:M33"/>
    <mergeCell ref="A28:M28"/>
    <mergeCell ref="N28:O28"/>
    <mergeCell ref="D1:O1"/>
    <mergeCell ref="D2:O2"/>
    <mergeCell ref="A3:E3"/>
    <mergeCell ref="F3:O3"/>
    <mergeCell ref="A4:E4"/>
    <mergeCell ref="F4:O4"/>
    <mergeCell ref="A1:C2"/>
    <mergeCell ref="N8:O8"/>
    <mergeCell ref="A9:D9"/>
    <mergeCell ref="F9:G9"/>
    <mergeCell ref="L22:O22"/>
    <mergeCell ref="D23:G23"/>
    <mergeCell ref="H23:K23"/>
    <mergeCell ref="A11:O11"/>
    <mergeCell ref="A14:B14"/>
    <mergeCell ref="I7:I8"/>
    <mergeCell ref="J7:K8"/>
    <mergeCell ref="L7:O7"/>
    <mergeCell ref="L8:M8"/>
    <mergeCell ref="H7:H8"/>
    <mergeCell ref="L23:O23"/>
    <mergeCell ref="A5:E5"/>
    <mergeCell ref="A16:B16"/>
    <mergeCell ref="A17:B17"/>
    <mergeCell ref="A18:A21"/>
    <mergeCell ref="A15:B15"/>
    <mergeCell ref="A10:O10"/>
    <mergeCell ref="J9:O9"/>
    <mergeCell ref="F5:O5"/>
    <mergeCell ref="A6:E6"/>
    <mergeCell ref="G6:O6"/>
    <mergeCell ref="A7:D8"/>
    <mergeCell ref="E7:E8"/>
    <mergeCell ref="F7:G8"/>
    <mergeCell ref="A12:O12"/>
    <mergeCell ref="A13:O13"/>
    <mergeCell ref="A42:O42"/>
    <mergeCell ref="A25:O25"/>
    <mergeCell ref="H22:K22"/>
    <mergeCell ref="A22:C23"/>
    <mergeCell ref="D22:G22"/>
    <mergeCell ref="A24:O24"/>
    <mergeCell ref="A39:M39"/>
    <mergeCell ref="N39:O39"/>
    <mergeCell ref="A40:M40"/>
    <mergeCell ref="N40:O40"/>
    <mergeCell ref="A41:M41"/>
    <mergeCell ref="N41:O41"/>
    <mergeCell ref="A26:M26"/>
    <mergeCell ref="N26:O26"/>
    <mergeCell ref="A27:M27"/>
    <mergeCell ref="N27:O27"/>
  </mergeCells>
  <dataValidations count="1">
    <dataValidation type="list" allowBlank="1" showInputMessage="1" showErrorMessage="1" sqref="J9:O9">
      <formula1>$Q$44:$Q$56</formula1>
    </dataValidation>
  </dataValidations>
  <pageMargins left="0.39370078740157483" right="0.39370078740157483" top="0.35433070866141736" bottom="0.35433070866141736" header="0" footer="0"/>
  <pageSetup scale="73" orientation="portrait" horizontalDpi="4294967294" verticalDpi="4294967294" r:id="rId1"/>
  <headerFooter alignWithMargins="0">
    <oddFooter>&amp;R&amp;8Diseñado por: Wilson Andrade González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52"/>
  <sheetViews>
    <sheetView windowProtection="1" topLeftCell="A26" zoomScaleSheetLayoutView="72" workbookViewId="0">
      <selection activeCell="N27" sqref="N27:O38"/>
    </sheetView>
  </sheetViews>
  <sheetFormatPr baseColWidth="10" defaultRowHeight="12.75" x14ac:dyDescent="0.25"/>
  <cols>
    <col min="1" max="1" width="3.85546875" style="3" customWidth="1"/>
    <col min="2" max="2" width="26.85546875" style="3" customWidth="1"/>
    <col min="3" max="11" width="7.7109375" style="3" customWidth="1"/>
    <col min="12" max="12" width="8.28515625" style="3" customWidth="1"/>
    <col min="13" max="15" width="7.7109375" style="3" customWidth="1"/>
    <col min="16" max="16" width="7" style="3" customWidth="1"/>
    <col min="17" max="18" width="7" style="3" hidden="1" customWidth="1"/>
    <col min="19" max="19" width="7" style="3" customWidth="1"/>
    <col min="20" max="20" width="11.42578125" style="3" customWidth="1"/>
    <col min="21" max="21" width="9" style="3" customWidth="1"/>
    <col min="22" max="22" width="5.7109375" style="3" customWidth="1"/>
    <col min="23" max="23" width="10.42578125" style="3" customWidth="1"/>
    <col min="24" max="24" width="10" style="3" customWidth="1"/>
    <col min="25" max="257" width="11.42578125" style="3"/>
    <col min="258" max="258" width="26.85546875" style="3" customWidth="1"/>
    <col min="259" max="267" width="7.7109375" style="3" customWidth="1"/>
    <col min="268" max="268" width="8.28515625" style="3" customWidth="1"/>
    <col min="269" max="271" width="7.7109375" style="3" customWidth="1"/>
    <col min="272" max="513" width="11.42578125" style="3"/>
    <col min="514" max="514" width="26.85546875" style="3" customWidth="1"/>
    <col min="515" max="523" width="7.7109375" style="3" customWidth="1"/>
    <col min="524" max="524" width="8.28515625" style="3" customWidth="1"/>
    <col min="525" max="527" width="7.7109375" style="3" customWidth="1"/>
    <col min="528" max="769" width="11.42578125" style="3"/>
    <col min="770" max="770" width="26.85546875" style="3" customWidth="1"/>
    <col min="771" max="779" width="7.7109375" style="3" customWidth="1"/>
    <col min="780" max="780" width="8.28515625" style="3" customWidth="1"/>
    <col min="781" max="783" width="7.7109375" style="3" customWidth="1"/>
    <col min="784" max="1025" width="11.42578125" style="3"/>
    <col min="1026" max="1026" width="26.85546875" style="3" customWidth="1"/>
    <col min="1027" max="1035" width="7.7109375" style="3" customWidth="1"/>
    <col min="1036" max="1036" width="8.28515625" style="3" customWidth="1"/>
    <col min="1037" max="1039" width="7.7109375" style="3" customWidth="1"/>
    <col min="1040" max="1281" width="11.42578125" style="3"/>
    <col min="1282" max="1282" width="26.85546875" style="3" customWidth="1"/>
    <col min="1283" max="1291" width="7.7109375" style="3" customWidth="1"/>
    <col min="1292" max="1292" width="8.28515625" style="3" customWidth="1"/>
    <col min="1293" max="1295" width="7.7109375" style="3" customWidth="1"/>
    <col min="1296" max="1537" width="11.42578125" style="3"/>
    <col min="1538" max="1538" width="26.85546875" style="3" customWidth="1"/>
    <col min="1539" max="1547" width="7.7109375" style="3" customWidth="1"/>
    <col min="1548" max="1548" width="8.28515625" style="3" customWidth="1"/>
    <col min="1549" max="1551" width="7.7109375" style="3" customWidth="1"/>
    <col min="1552" max="1793" width="11.42578125" style="3"/>
    <col min="1794" max="1794" width="26.85546875" style="3" customWidth="1"/>
    <col min="1795" max="1803" width="7.7109375" style="3" customWidth="1"/>
    <col min="1804" max="1804" width="8.28515625" style="3" customWidth="1"/>
    <col min="1805" max="1807" width="7.7109375" style="3" customWidth="1"/>
    <col min="1808" max="2049" width="11.42578125" style="3"/>
    <col min="2050" max="2050" width="26.85546875" style="3" customWidth="1"/>
    <col min="2051" max="2059" width="7.7109375" style="3" customWidth="1"/>
    <col min="2060" max="2060" width="8.28515625" style="3" customWidth="1"/>
    <col min="2061" max="2063" width="7.7109375" style="3" customWidth="1"/>
    <col min="2064" max="2305" width="11.42578125" style="3"/>
    <col min="2306" max="2306" width="26.85546875" style="3" customWidth="1"/>
    <col min="2307" max="2315" width="7.7109375" style="3" customWidth="1"/>
    <col min="2316" max="2316" width="8.28515625" style="3" customWidth="1"/>
    <col min="2317" max="2319" width="7.7109375" style="3" customWidth="1"/>
    <col min="2320" max="2561" width="11.42578125" style="3"/>
    <col min="2562" max="2562" width="26.85546875" style="3" customWidth="1"/>
    <col min="2563" max="2571" width="7.7109375" style="3" customWidth="1"/>
    <col min="2572" max="2572" width="8.28515625" style="3" customWidth="1"/>
    <col min="2573" max="2575" width="7.7109375" style="3" customWidth="1"/>
    <col min="2576" max="2817" width="11.42578125" style="3"/>
    <col min="2818" max="2818" width="26.85546875" style="3" customWidth="1"/>
    <col min="2819" max="2827" width="7.7109375" style="3" customWidth="1"/>
    <col min="2828" max="2828" width="8.28515625" style="3" customWidth="1"/>
    <col min="2829" max="2831" width="7.7109375" style="3" customWidth="1"/>
    <col min="2832" max="3073" width="11.42578125" style="3"/>
    <col min="3074" max="3074" width="26.85546875" style="3" customWidth="1"/>
    <col min="3075" max="3083" width="7.7109375" style="3" customWidth="1"/>
    <col min="3084" max="3084" width="8.28515625" style="3" customWidth="1"/>
    <col min="3085" max="3087" width="7.7109375" style="3" customWidth="1"/>
    <col min="3088" max="3329" width="11.42578125" style="3"/>
    <col min="3330" max="3330" width="26.85546875" style="3" customWidth="1"/>
    <col min="3331" max="3339" width="7.7109375" style="3" customWidth="1"/>
    <col min="3340" max="3340" width="8.28515625" style="3" customWidth="1"/>
    <col min="3341" max="3343" width="7.7109375" style="3" customWidth="1"/>
    <col min="3344" max="3585" width="11.42578125" style="3"/>
    <col min="3586" max="3586" width="26.85546875" style="3" customWidth="1"/>
    <col min="3587" max="3595" width="7.7109375" style="3" customWidth="1"/>
    <col min="3596" max="3596" width="8.28515625" style="3" customWidth="1"/>
    <col min="3597" max="3599" width="7.7109375" style="3" customWidth="1"/>
    <col min="3600" max="3841" width="11.42578125" style="3"/>
    <col min="3842" max="3842" width="26.85546875" style="3" customWidth="1"/>
    <col min="3843" max="3851" width="7.7109375" style="3" customWidth="1"/>
    <col min="3852" max="3852" width="8.28515625" style="3" customWidth="1"/>
    <col min="3853" max="3855" width="7.7109375" style="3" customWidth="1"/>
    <col min="3856" max="4097" width="11.42578125" style="3"/>
    <col min="4098" max="4098" width="26.85546875" style="3" customWidth="1"/>
    <col min="4099" max="4107" width="7.7109375" style="3" customWidth="1"/>
    <col min="4108" max="4108" width="8.28515625" style="3" customWidth="1"/>
    <col min="4109" max="4111" width="7.7109375" style="3" customWidth="1"/>
    <col min="4112" max="4353" width="11.42578125" style="3"/>
    <col min="4354" max="4354" width="26.85546875" style="3" customWidth="1"/>
    <col min="4355" max="4363" width="7.7109375" style="3" customWidth="1"/>
    <col min="4364" max="4364" width="8.28515625" style="3" customWidth="1"/>
    <col min="4365" max="4367" width="7.7109375" style="3" customWidth="1"/>
    <col min="4368" max="4609" width="11.42578125" style="3"/>
    <col min="4610" max="4610" width="26.85546875" style="3" customWidth="1"/>
    <col min="4611" max="4619" width="7.7109375" style="3" customWidth="1"/>
    <col min="4620" max="4620" width="8.28515625" style="3" customWidth="1"/>
    <col min="4621" max="4623" width="7.7109375" style="3" customWidth="1"/>
    <col min="4624" max="4865" width="11.42578125" style="3"/>
    <col min="4866" max="4866" width="26.85546875" style="3" customWidth="1"/>
    <col min="4867" max="4875" width="7.7109375" style="3" customWidth="1"/>
    <col min="4876" max="4876" width="8.28515625" style="3" customWidth="1"/>
    <col min="4877" max="4879" width="7.7109375" style="3" customWidth="1"/>
    <col min="4880" max="5121" width="11.42578125" style="3"/>
    <col min="5122" max="5122" width="26.85546875" style="3" customWidth="1"/>
    <col min="5123" max="5131" width="7.7109375" style="3" customWidth="1"/>
    <col min="5132" max="5132" width="8.28515625" style="3" customWidth="1"/>
    <col min="5133" max="5135" width="7.7109375" style="3" customWidth="1"/>
    <col min="5136" max="5377" width="11.42578125" style="3"/>
    <col min="5378" max="5378" width="26.85546875" style="3" customWidth="1"/>
    <col min="5379" max="5387" width="7.7109375" style="3" customWidth="1"/>
    <col min="5388" max="5388" width="8.28515625" style="3" customWidth="1"/>
    <col min="5389" max="5391" width="7.7109375" style="3" customWidth="1"/>
    <col min="5392" max="5633" width="11.42578125" style="3"/>
    <col min="5634" max="5634" width="26.85546875" style="3" customWidth="1"/>
    <col min="5635" max="5643" width="7.7109375" style="3" customWidth="1"/>
    <col min="5644" max="5644" width="8.28515625" style="3" customWidth="1"/>
    <col min="5645" max="5647" width="7.7109375" style="3" customWidth="1"/>
    <col min="5648" max="5889" width="11.42578125" style="3"/>
    <col min="5890" max="5890" width="26.85546875" style="3" customWidth="1"/>
    <col min="5891" max="5899" width="7.7109375" style="3" customWidth="1"/>
    <col min="5900" max="5900" width="8.28515625" style="3" customWidth="1"/>
    <col min="5901" max="5903" width="7.7109375" style="3" customWidth="1"/>
    <col min="5904" max="6145" width="11.42578125" style="3"/>
    <col min="6146" max="6146" width="26.85546875" style="3" customWidth="1"/>
    <col min="6147" max="6155" width="7.7109375" style="3" customWidth="1"/>
    <col min="6156" max="6156" width="8.28515625" style="3" customWidth="1"/>
    <col min="6157" max="6159" width="7.7109375" style="3" customWidth="1"/>
    <col min="6160" max="6401" width="11.42578125" style="3"/>
    <col min="6402" max="6402" width="26.85546875" style="3" customWidth="1"/>
    <col min="6403" max="6411" width="7.7109375" style="3" customWidth="1"/>
    <col min="6412" max="6412" width="8.28515625" style="3" customWidth="1"/>
    <col min="6413" max="6415" width="7.7109375" style="3" customWidth="1"/>
    <col min="6416" max="6657" width="11.42578125" style="3"/>
    <col min="6658" max="6658" width="26.85546875" style="3" customWidth="1"/>
    <col min="6659" max="6667" width="7.7109375" style="3" customWidth="1"/>
    <col min="6668" max="6668" width="8.28515625" style="3" customWidth="1"/>
    <col min="6669" max="6671" width="7.7109375" style="3" customWidth="1"/>
    <col min="6672" max="6913" width="11.42578125" style="3"/>
    <col min="6914" max="6914" width="26.85546875" style="3" customWidth="1"/>
    <col min="6915" max="6923" width="7.7109375" style="3" customWidth="1"/>
    <col min="6924" max="6924" width="8.28515625" style="3" customWidth="1"/>
    <col min="6925" max="6927" width="7.7109375" style="3" customWidth="1"/>
    <col min="6928" max="7169" width="11.42578125" style="3"/>
    <col min="7170" max="7170" width="26.85546875" style="3" customWidth="1"/>
    <col min="7171" max="7179" width="7.7109375" style="3" customWidth="1"/>
    <col min="7180" max="7180" width="8.28515625" style="3" customWidth="1"/>
    <col min="7181" max="7183" width="7.7109375" style="3" customWidth="1"/>
    <col min="7184" max="7425" width="11.42578125" style="3"/>
    <col min="7426" max="7426" width="26.85546875" style="3" customWidth="1"/>
    <col min="7427" max="7435" width="7.7109375" style="3" customWidth="1"/>
    <col min="7436" max="7436" width="8.28515625" style="3" customWidth="1"/>
    <col min="7437" max="7439" width="7.7109375" style="3" customWidth="1"/>
    <col min="7440" max="7681" width="11.42578125" style="3"/>
    <col min="7682" max="7682" width="26.85546875" style="3" customWidth="1"/>
    <col min="7683" max="7691" width="7.7109375" style="3" customWidth="1"/>
    <col min="7692" max="7692" width="8.28515625" style="3" customWidth="1"/>
    <col min="7693" max="7695" width="7.7109375" style="3" customWidth="1"/>
    <col min="7696" max="7937" width="11.42578125" style="3"/>
    <col min="7938" max="7938" width="26.85546875" style="3" customWidth="1"/>
    <col min="7939" max="7947" width="7.7109375" style="3" customWidth="1"/>
    <col min="7948" max="7948" width="8.28515625" style="3" customWidth="1"/>
    <col min="7949" max="7951" width="7.7109375" style="3" customWidth="1"/>
    <col min="7952" max="8193" width="11.42578125" style="3"/>
    <col min="8194" max="8194" width="26.85546875" style="3" customWidth="1"/>
    <col min="8195" max="8203" width="7.7109375" style="3" customWidth="1"/>
    <col min="8204" max="8204" width="8.28515625" style="3" customWidth="1"/>
    <col min="8205" max="8207" width="7.7109375" style="3" customWidth="1"/>
    <col min="8208" max="8449" width="11.42578125" style="3"/>
    <col min="8450" max="8450" width="26.85546875" style="3" customWidth="1"/>
    <col min="8451" max="8459" width="7.7109375" style="3" customWidth="1"/>
    <col min="8460" max="8460" width="8.28515625" style="3" customWidth="1"/>
    <col min="8461" max="8463" width="7.7109375" style="3" customWidth="1"/>
    <col min="8464" max="8705" width="11.42578125" style="3"/>
    <col min="8706" max="8706" width="26.85546875" style="3" customWidth="1"/>
    <col min="8707" max="8715" width="7.7109375" style="3" customWidth="1"/>
    <col min="8716" max="8716" width="8.28515625" style="3" customWidth="1"/>
    <col min="8717" max="8719" width="7.7109375" style="3" customWidth="1"/>
    <col min="8720" max="8961" width="11.42578125" style="3"/>
    <col min="8962" max="8962" width="26.85546875" style="3" customWidth="1"/>
    <col min="8963" max="8971" width="7.7109375" style="3" customWidth="1"/>
    <col min="8972" max="8972" width="8.28515625" style="3" customWidth="1"/>
    <col min="8973" max="8975" width="7.7109375" style="3" customWidth="1"/>
    <col min="8976" max="9217" width="11.42578125" style="3"/>
    <col min="9218" max="9218" width="26.85546875" style="3" customWidth="1"/>
    <col min="9219" max="9227" width="7.7109375" style="3" customWidth="1"/>
    <col min="9228" max="9228" width="8.28515625" style="3" customWidth="1"/>
    <col min="9229" max="9231" width="7.7109375" style="3" customWidth="1"/>
    <col min="9232" max="9473" width="11.42578125" style="3"/>
    <col min="9474" max="9474" width="26.85546875" style="3" customWidth="1"/>
    <col min="9475" max="9483" width="7.7109375" style="3" customWidth="1"/>
    <col min="9484" max="9484" width="8.28515625" style="3" customWidth="1"/>
    <col min="9485" max="9487" width="7.7109375" style="3" customWidth="1"/>
    <col min="9488" max="9729" width="11.42578125" style="3"/>
    <col min="9730" max="9730" width="26.85546875" style="3" customWidth="1"/>
    <col min="9731" max="9739" width="7.7109375" style="3" customWidth="1"/>
    <col min="9740" max="9740" width="8.28515625" style="3" customWidth="1"/>
    <col min="9741" max="9743" width="7.7109375" style="3" customWidth="1"/>
    <col min="9744" max="9985" width="11.42578125" style="3"/>
    <col min="9986" max="9986" width="26.85546875" style="3" customWidth="1"/>
    <col min="9987" max="9995" width="7.7109375" style="3" customWidth="1"/>
    <col min="9996" max="9996" width="8.28515625" style="3" customWidth="1"/>
    <col min="9997" max="9999" width="7.7109375" style="3" customWidth="1"/>
    <col min="10000" max="10241" width="11.42578125" style="3"/>
    <col min="10242" max="10242" width="26.85546875" style="3" customWidth="1"/>
    <col min="10243" max="10251" width="7.7109375" style="3" customWidth="1"/>
    <col min="10252" max="10252" width="8.28515625" style="3" customWidth="1"/>
    <col min="10253" max="10255" width="7.7109375" style="3" customWidth="1"/>
    <col min="10256" max="10497" width="11.42578125" style="3"/>
    <col min="10498" max="10498" width="26.85546875" style="3" customWidth="1"/>
    <col min="10499" max="10507" width="7.7109375" style="3" customWidth="1"/>
    <col min="10508" max="10508" width="8.28515625" style="3" customWidth="1"/>
    <col min="10509" max="10511" width="7.7109375" style="3" customWidth="1"/>
    <col min="10512" max="10753" width="11.42578125" style="3"/>
    <col min="10754" max="10754" width="26.85546875" style="3" customWidth="1"/>
    <col min="10755" max="10763" width="7.7109375" style="3" customWidth="1"/>
    <col min="10764" max="10764" width="8.28515625" style="3" customWidth="1"/>
    <col min="10765" max="10767" width="7.7109375" style="3" customWidth="1"/>
    <col min="10768" max="11009" width="11.42578125" style="3"/>
    <col min="11010" max="11010" width="26.85546875" style="3" customWidth="1"/>
    <col min="11011" max="11019" width="7.7109375" style="3" customWidth="1"/>
    <col min="11020" max="11020" width="8.28515625" style="3" customWidth="1"/>
    <col min="11021" max="11023" width="7.7109375" style="3" customWidth="1"/>
    <col min="11024" max="11265" width="11.42578125" style="3"/>
    <col min="11266" max="11266" width="26.85546875" style="3" customWidth="1"/>
    <col min="11267" max="11275" width="7.7109375" style="3" customWidth="1"/>
    <col min="11276" max="11276" width="8.28515625" style="3" customWidth="1"/>
    <col min="11277" max="11279" width="7.7109375" style="3" customWidth="1"/>
    <col min="11280" max="11521" width="11.42578125" style="3"/>
    <col min="11522" max="11522" width="26.85546875" style="3" customWidth="1"/>
    <col min="11523" max="11531" width="7.7109375" style="3" customWidth="1"/>
    <col min="11532" max="11532" width="8.28515625" style="3" customWidth="1"/>
    <col min="11533" max="11535" width="7.7109375" style="3" customWidth="1"/>
    <col min="11536" max="11777" width="11.42578125" style="3"/>
    <col min="11778" max="11778" width="26.85546875" style="3" customWidth="1"/>
    <col min="11779" max="11787" width="7.7109375" style="3" customWidth="1"/>
    <col min="11788" max="11788" width="8.28515625" style="3" customWidth="1"/>
    <col min="11789" max="11791" width="7.7109375" style="3" customWidth="1"/>
    <col min="11792" max="12033" width="11.42578125" style="3"/>
    <col min="12034" max="12034" width="26.85546875" style="3" customWidth="1"/>
    <col min="12035" max="12043" width="7.7109375" style="3" customWidth="1"/>
    <col min="12044" max="12044" width="8.28515625" style="3" customWidth="1"/>
    <col min="12045" max="12047" width="7.7109375" style="3" customWidth="1"/>
    <col min="12048" max="12289" width="11.42578125" style="3"/>
    <col min="12290" max="12290" width="26.85546875" style="3" customWidth="1"/>
    <col min="12291" max="12299" width="7.7109375" style="3" customWidth="1"/>
    <col min="12300" max="12300" width="8.28515625" style="3" customWidth="1"/>
    <col min="12301" max="12303" width="7.7109375" style="3" customWidth="1"/>
    <col min="12304" max="12545" width="11.42578125" style="3"/>
    <col min="12546" max="12546" width="26.85546875" style="3" customWidth="1"/>
    <col min="12547" max="12555" width="7.7109375" style="3" customWidth="1"/>
    <col min="12556" max="12556" width="8.28515625" style="3" customWidth="1"/>
    <col min="12557" max="12559" width="7.7109375" style="3" customWidth="1"/>
    <col min="12560" max="12801" width="11.42578125" style="3"/>
    <col min="12802" max="12802" width="26.85546875" style="3" customWidth="1"/>
    <col min="12803" max="12811" width="7.7109375" style="3" customWidth="1"/>
    <col min="12812" max="12812" width="8.28515625" style="3" customWidth="1"/>
    <col min="12813" max="12815" width="7.7109375" style="3" customWidth="1"/>
    <col min="12816" max="13057" width="11.42578125" style="3"/>
    <col min="13058" max="13058" width="26.85546875" style="3" customWidth="1"/>
    <col min="13059" max="13067" width="7.7109375" style="3" customWidth="1"/>
    <col min="13068" max="13068" width="8.28515625" style="3" customWidth="1"/>
    <col min="13069" max="13071" width="7.7109375" style="3" customWidth="1"/>
    <col min="13072" max="13313" width="11.42578125" style="3"/>
    <col min="13314" max="13314" width="26.85546875" style="3" customWidth="1"/>
    <col min="13315" max="13323" width="7.7109375" style="3" customWidth="1"/>
    <col min="13324" max="13324" width="8.28515625" style="3" customWidth="1"/>
    <col min="13325" max="13327" width="7.7109375" style="3" customWidth="1"/>
    <col min="13328" max="13569" width="11.42578125" style="3"/>
    <col min="13570" max="13570" width="26.85546875" style="3" customWidth="1"/>
    <col min="13571" max="13579" width="7.7109375" style="3" customWidth="1"/>
    <col min="13580" max="13580" width="8.28515625" style="3" customWidth="1"/>
    <col min="13581" max="13583" width="7.7109375" style="3" customWidth="1"/>
    <col min="13584" max="13825" width="11.42578125" style="3"/>
    <col min="13826" max="13826" width="26.85546875" style="3" customWidth="1"/>
    <col min="13827" max="13835" width="7.7109375" style="3" customWidth="1"/>
    <col min="13836" max="13836" width="8.28515625" style="3" customWidth="1"/>
    <col min="13837" max="13839" width="7.7109375" style="3" customWidth="1"/>
    <col min="13840" max="14081" width="11.42578125" style="3"/>
    <col min="14082" max="14082" width="26.85546875" style="3" customWidth="1"/>
    <col min="14083" max="14091" width="7.7109375" style="3" customWidth="1"/>
    <col min="14092" max="14092" width="8.28515625" style="3" customWidth="1"/>
    <col min="14093" max="14095" width="7.7109375" style="3" customWidth="1"/>
    <col min="14096" max="14337" width="11.42578125" style="3"/>
    <col min="14338" max="14338" width="26.85546875" style="3" customWidth="1"/>
    <col min="14339" max="14347" width="7.7109375" style="3" customWidth="1"/>
    <col min="14348" max="14348" width="8.28515625" style="3" customWidth="1"/>
    <col min="14349" max="14351" width="7.7109375" style="3" customWidth="1"/>
    <col min="14352" max="14593" width="11.42578125" style="3"/>
    <col min="14594" max="14594" width="26.85546875" style="3" customWidth="1"/>
    <col min="14595" max="14603" width="7.7109375" style="3" customWidth="1"/>
    <col min="14604" max="14604" width="8.28515625" style="3" customWidth="1"/>
    <col min="14605" max="14607" width="7.7109375" style="3" customWidth="1"/>
    <col min="14608" max="14849" width="11.42578125" style="3"/>
    <col min="14850" max="14850" width="26.85546875" style="3" customWidth="1"/>
    <col min="14851" max="14859" width="7.7109375" style="3" customWidth="1"/>
    <col min="14860" max="14860" width="8.28515625" style="3" customWidth="1"/>
    <col min="14861" max="14863" width="7.7109375" style="3" customWidth="1"/>
    <col min="14864" max="15105" width="11.42578125" style="3"/>
    <col min="15106" max="15106" width="26.85546875" style="3" customWidth="1"/>
    <col min="15107" max="15115" width="7.7109375" style="3" customWidth="1"/>
    <col min="15116" max="15116" width="8.28515625" style="3" customWidth="1"/>
    <col min="15117" max="15119" width="7.7109375" style="3" customWidth="1"/>
    <col min="15120" max="15361" width="11.42578125" style="3"/>
    <col min="15362" max="15362" width="26.85546875" style="3" customWidth="1"/>
    <col min="15363" max="15371" width="7.7109375" style="3" customWidth="1"/>
    <col min="15372" max="15372" width="8.28515625" style="3" customWidth="1"/>
    <col min="15373" max="15375" width="7.7109375" style="3" customWidth="1"/>
    <col min="15376" max="15617" width="11.42578125" style="3"/>
    <col min="15618" max="15618" width="26.85546875" style="3" customWidth="1"/>
    <col min="15619" max="15627" width="7.7109375" style="3" customWidth="1"/>
    <col min="15628" max="15628" width="8.28515625" style="3" customWidth="1"/>
    <col min="15629" max="15631" width="7.7109375" style="3" customWidth="1"/>
    <col min="15632" max="15873" width="11.42578125" style="3"/>
    <col min="15874" max="15874" width="26.85546875" style="3" customWidth="1"/>
    <col min="15875" max="15883" width="7.7109375" style="3" customWidth="1"/>
    <col min="15884" max="15884" width="8.28515625" style="3" customWidth="1"/>
    <col min="15885" max="15887" width="7.7109375" style="3" customWidth="1"/>
    <col min="15888" max="16129" width="11.42578125" style="3"/>
    <col min="16130" max="16130" width="26.85546875" style="3" customWidth="1"/>
    <col min="16131" max="16139" width="7.7109375" style="3" customWidth="1"/>
    <col min="16140" max="16140" width="8.28515625" style="3" customWidth="1"/>
    <col min="16141" max="16143" width="7.7109375" style="3" customWidth="1"/>
    <col min="16144" max="16384" width="11.42578125" style="3"/>
  </cols>
  <sheetData>
    <row r="1" spans="1:24" ht="20.25" customHeight="1" x14ac:dyDescent="0.25">
      <c r="A1" s="247"/>
      <c r="B1" s="248"/>
      <c r="C1" s="249"/>
      <c r="D1" s="243" t="s">
        <v>20</v>
      </c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4"/>
    </row>
    <row r="2" spans="1:24" ht="15.75" customHeight="1" thickBot="1" x14ac:dyDescent="0.3">
      <c r="A2" s="250"/>
      <c r="B2" s="251"/>
      <c r="C2" s="252"/>
      <c r="D2" s="245" t="s">
        <v>67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6"/>
    </row>
    <row r="3" spans="1:24" ht="13.5" customHeight="1" x14ac:dyDescent="0.25">
      <c r="A3" s="253" t="s">
        <v>0</v>
      </c>
      <c r="B3" s="254"/>
      <c r="C3" s="254"/>
      <c r="D3" s="254"/>
      <c r="E3" s="254"/>
      <c r="F3" s="254" t="str">
        <f>'SET SP Nataga'!J3</f>
        <v>GESTIÓN DE SERVICIOS PÚBLICOS - NATAGA</v>
      </c>
      <c r="G3" s="254"/>
      <c r="H3" s="254"/>
      <c r="I3" s="254"/>
      <c r="J3" s="254"/>
      <c r="K3" s="254"/>
      <c r="L3" s="254"/>
      <c r="M3" s="254"/>
      <c r="N3" s="254"/>
      <c r="O3" s="255"/>
    </row>
    <row r="4" spans="1:24" ht="15.75" customHeight="1" x14ac:dyDescent="0.25">
      <c r="A4" s="235" t="s">
        <v>1</v>
      </c>
      <c r="B4" s="236"/>
      <c r="C4" s="236"/>
      <c r="D4" s="236"/>
      <c r="E4" s="236"/>
      <c r="F4" s="256" t="str">
        <f>'SET SP Nataga'!$B15</f>
        <v>Índice de agua no contabilizada</v>
      </c>
      <c r="G4" s="256"/>
      <c r="H4" s="256"/>
      <c r="I4" s="256"/>
      <c r="J4" s="256"/>
      <c r="K4" s="256"/>
      <c r="L4" s="256"/>
      <c r="M4" s="256"/>
      <c r="N4" s="256"/>
      <c r="O4" s="277"/>
    </row>
    <row r="5" spans="1:24" ht="15.75" customHeight="1" x14ac:dyDescent="0.25">
      <c r="A5" s="235" t="s">
        <v>55</v>
      </c>
      <c r="B5" s="236"/>
      <c r="C5" s="236"/>
      <c r="D5" s="236"/>
      <c r="E5" s="236"/>
      <c r="F5" s="238" t="str">
        <f>'SET SP Nataga'!F15</f>
        <v xml:space="preserve">Eficiencia </v>
      </c>
      <c r="G5" s="239"/>
      <c r="H5" s="239"/>
      <c r="I5" s="239"/>
      <c r="J5" s="239"/>
      <c r="K5" s="239"/>
      <c r="L5" s="239"/>
      <c r="M5" s="239"/>
      <c r="N5" s="239"/>
      <c r="O5" s="240"/>
    </row>
    <row r="6" spans="1:24" ht="17.25" customHeight="1" thickBot="1" x14ac:dyDescent="0.3">
      <c r="A6" s="259" t="s">
        <v>21</v>
      </c>
      <c r="B6" s="260"/>
      <c r="C6" s="260"/>
      <c r="D6" s="260"/>
      <c r="E6" s="260"/>
      <c r="F6" s="26" t="s">
        <v>94</v>
      </c>
      <c r="G6" s="261" t="str">
        <f>'SET SP Nataga'!A15</f>
        <v>IN10</v>
      </c>
      <c r="H6" s="261"/>
      <c r="I6" s="261"/>
      <c r="J6" s="261"/>
      <c r="K6" s="261"/>
      <c r="L6" s="261"/>
      <c r="M6" s="261"/>
      <c r="N6" s="261"/>
      <c r="O6" s="276"/>
    </row>
    <row r="7" spans="1:24" ht="12.75" customHeight="1" x14ac:dyDescent="0.25">
      <c r="A7" s="264" t="s">
        <v>22</v>
      </c>
      <c r="B7" s="265"/>
      <c r="C7" s="265"/>
      <c r="D7" s="265"/>
      <c r="E7" s="230" t="s">
        <v>23</v>
      </c>
      <c r="F7" s="230" t="s">
        <v>24</v>
      </c>
      <c r="G7" s="230"/>
      <c r="H7" s="230" t="s">
        <v>25</v>
      </c>
      <c r="I7" s="230" t="s">
        <v>26</v>
      </c>
      <c r="J7" s="230" t="s">
        <v>27</v>
      </c>
      <c r="K7" s="230"/>
      <c r="L7" s="232" t="s">
        <v>28</v>
      </c>
      <c r="M7" s="232"/>
      <c r="N7" s="232"/>
      <c r="O7" s="233"/>
    </row>
    <row r="8" spans="1:24" ht="46.5" customHeight="1" x14ac:dyDescent="0.25">
      <c r="A8" s="266"/>
      <c r="B8" s="234"/>
      <c r="C8" s="234"/>
      <c r="D8" s="234"/>
      <c r="E8" s="231"/>
      <c r="F8" s="231"/>
      <c r="G8" s="231"/>
      <c r="H8" s="231"/>
      <c r="I8" s="231"/>
      <c r="J8" s="231"/>
      <c r="K8" s="231"/>
      <c r="L8" s="234" t="s">
        <v>29</v>
      </c>
      <c r="M8" s="234"/>
      <c r="N8" s="234" t="s">
        <v>30</v>
      </c>
      <c r="O8" s="237"/>
    </row>
    <row r="9" spans="1:24" ht="48" customHeight="1" thickBot="1" x14ac:dyDescent="0.3">
      <c r="A9" s="206" t="str">
        <f>'SET SP Nataga'!$C15</f>
        <v>Lograr que Aguas del Huila facture la totalidad del agua producida.</v>
      </c>
      <c r="B9" s="207"/>
      <c r="C9" s="207"/>
      <c r="D9" s="207"/>
      <c r="E9" s="17" t="s">
        <v>35</v>
      </c>
      <c r="F9" s="288" t="str">
        <f>'SET SP Nataga'!$D15</f>
        <v xml:space="preserve">(Volumen  producido - Volumen facturado /   Volumen  producido)   x 100          </v>
      </c>
      <c r="G9" s="290"/>
      <c r="H9" s="14">
        <f>$O16</f>
        <v>0</v>
      </c>
      <c r="I9" s="36" t="str">
        <f>'SET SP Nataga'!$E15</f>
        <v>Trimestral</v>
      </c>
      <c r="J9" s="208" t="s">
        <v>89</v>
      </c>
      <c r="K9" s="209"/>
      <c r="L9" s="209"/>
      <c r="M9" s="209"/>
      <c r="N9" s="209"/>
      <c r="O9" s="210"/>
    </row>
    <row r="10" spans="1:24" ht="13.5" customHeight="1" x14ac:dyDescent="0.25">
      <c r="A10" s="216" t="s">
        <v>38</v>
      </c>
      <c r="B10" s="217"/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8"/>
    </row>
    <row r="11" spans="1:24" ht="21.75" customHeight="1" thickBot="1" x14ac:dyDescent="0.3">
      <c r="A11" s="219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1"/>
    </row>
    <row r="12" spans="1:24" ht="15" customHeight="1" thickBot="1" x14ac:dyDescent="0.3">
      <c r="A12" s="281" t="s">
        <v>31</v>
      </c>
      <c r="B12" s="282"/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3"/>
      <c r="V12" s="9"/>
      <c r="W12" s="37"/>
      <c r="X12" s="37"/>
    </row>
    <row r="13" spans="1:24" ht="16.5" customHeight="1" x14ac:dyDescent="0.25">
      <c r="A13" s="225" t="s">
        <v>273</v>
      </c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7"/>
      <c r="V13" s="9"/>
      <c r="W13" s="10"/>
      <c r="X13" s="10"/>
    </row>
    <row r="14" spans="1:24" ht="16.5" customHeight="1" x14ac:dyDescent="0.25">
      <c r="A14" s="228" t="s">
        <v>32</v>
      </c>
      <c r="B14" s="229"/>
      <c r="C14" s="135" t="s">
        <v>8</v>
      </c>
      <c r="D14" s="135" t="s">
        <v>9</v>
      </c>
      <c r="E14" s="135" t="s">
        <v>10</v>
      </c>
      <c r="F14" s="135" t="s">
        <v>11</v>
      </c>
      <c r="G14" s="135" t="s">
        <v>12</v>
      </c>
      <c r="H14" s="135" t="s">
        <v>13</v>
      </c>
      <c r="I14" s="135" t="s">
        <v>14</v>
      </c>
      <c r="J14" s="135" t="s">
        <v>15</v>
      </c>
      <c r="K14" s="135" t="s">
        <v>16</v>
      </c>
      <c r="L14" s="135" t="s">
        <v>17</v>
      </c>
      <c r="M14" s="135" t="s">
        <v>18</v>
      </c>
      <c r="N14" s="135" t="s">
        <v>19</v>
      </c>
      <c r="O14" s="6" t="s">
        <v>33</v>
      </c>
      <c r="V14" s="9"/>
      <c r="W14" s="10"/>
      <c r="X14" s="10"/>
    </row>
    <row r="15" spans="1:24" ht="16.5" customHeight="1" x14ac:dyDescent="0.25">
      <c r="A15" s="183" t="s">
        <v>39</v>
      </c>
      <c r="B15" s="184"/>
      <c r="C15" s="139">
        <f t="shared" ref="C15:N15" si="0">$O$15</f>
        <v>0</v>
      </c>
      <c r="D15" s="139">
        <f t="shared" si="0"/>
        <v>0</v>
      </c>
      <c r="E15" s="139">
        <f t="shared" si="0"/>
        <v>0</v>
      </c>
      <c r="F15" s="139">
        <f t="shared" si="0"/>
        <v>0</v>
      </c>
      <c r="G15" s="139">
        <f t="shared" si="0"/>
        <v>0</v>
      </c>
      <c r="H15" s="139">
        <f t="shared" si="0"/>
        <v>0</v>
      </c>
      <c r="I15" s="139">
        <f t="shared" si="0"/>
        <v>0</v>
      </c>
      <c r="J15" s="139">
        <f t="shared" si="0"/>
        <v>0</v>
      </c>
      <c r="K15" s="139">
        <f t="shared" si="0"/>
        <v>0</v>
      </c>
      <c r="L15" s="139">
        <f t="shared" si="0"/>
        <v>0</v>
      </c>
      <c r="M15" s="139">
        <f t="shared" si="0"/>
        <v>0</v>
      </c>
      <c r="N15" s="139">
        <f t="shared" si="0"/>
        <v>0</v>
      </c>
      <c r="O15" s="138">
        <f>'SET SP Nataga'!J15</f>
        <v>0</v>
      </c>
      <c r="V15" s="9"/>
      <c r="W15" s="10"/>
      <c r="X15" s="10"/>
    </row>
    <row r="16" spans="1:24" ht="17.25" customHeight="1" x14ac:dyDescent="0.25">
      <c r="A16" s="183" t="s">
        <v>272</v>
      </c>
      <c r="B16" s="184"/>
      <c r="C16" s="139">
        <f t="shared" ref="C16:N16" si="1">$O$16</f>
        <v>0</v>
      </c>
      <c r="D16" s="139">
        <f t="shared" si="1"/>
        <v>0</v>
      </c>
      <c r="E16" s="139">
        <f t="shared" si="1"/>
        <v>0</v>
      </c>
      <c r="F16" s="139">
        <f t="shared" si="1"/>
        <v>0</v>
      </c>
      <c r="G16" s="139">
        <f t="shared" si="1"/>
        <v>0</v>
      </c>
      <c r="H16" s="139">
        <f t="shared" si="1"/>
        <v>0</v>
      </c>
      <c r="I16" s="139">
        <f t="shared" si="1"/>
        <v>0</v>
      </c>
      <c r="J16" s="139">
        <f t="shared" si="1"/>
        <v>0</v>
      </c>
      <c r="K16" s="139">
        <f t="shared" si="1"/>
        <v>0</v>
      </c>
      <c r="L16" s="139">
        <f t="shared" si="1"/>
        <v>0</v>
      </c>
      <c r="M16" s="139">
        <f t="shared" si="1"/>
        <v>0</v>
      </c>
      <c r="N16" s="139">
        <f t="shared" si="1"/>
        <v>0</v>
      </c>
      <c r="O16" s="138">
        <f>'SET SP Nataga'!K15</f>
        <v>0</v>
      </c>
      <c r="V16" s="9"/>
      <c r="W16" s="10"/>
      <c r="X16" s="10"/>
    </row>
    <row r="17" spans="1:24" ht="17.25" customHeight="1" x14ac:dyDescent="0.25">
      <c r="A17" s="187" t="s">
        <v>263</v>
      </c>
      <c r="B17" s="188"/>
      <c r="C17" s="12">
        <f>IF((C19),(C18-C19)/C18,"-")</f>
        <v>0.48456181079512478</v>
      </c>
      <c r="D17" s="12">
        <f t="shared" ref="D17:O17" si="2">IF((D19),(D18-D19)/D18,"-")</f>
        <v>0.57059305181892617</v>
      </c>
      <c r="E17" s="12">
        <f t="shared" si="2"/>
        <v>0.63859236937535113</v>
      </c>
      <c r="F17" s="12">
        <f t="shared" si="2"/>
        <v>0.43629634276394202</v>
      </c>
      <c r="G17" s="12">
        <f t="shared" si="2"/>
        <v>0.52799350875159379</v>
      </c>
      <c r="H17" s="12">
        <f t="shared" si="2"/>
        <v>0.5447715510045078</v>
      </c>
      <c r="I17" s="12">
        <f t="shared" si="2"/>
        <v>0.49596478356566398</v>
      </c>
      <c r="J17" s="12">
        <f t="shared" si="2"/>
        <v>0.54708567788512585</v>
      </c>
      <c r="K17" s="12">
        <f t="shared" si="2"/>
        <v>0.46915101872178977</v>
      </c>
      <c r="L17" s="12">
        <f t="shared" si="2"/>
        <v>0.63432763288087679</v>
      </c>
      <c r="M17" s="12">
        <f t="shared" si="2"/>
        <v>0.55892107886959241</v>
      </c>
      <c r="N17" s="12">
        <f t="shared" si="2"/>
        <v>0.62479432332373508</v>
      </c>
      <c r="O17" s="13">
        <f t="shared" si="2"/>
        <v>0.54693352161549047</v>
      </c>
      <c r="V17" s="9"/>
      <c r="W17" s="10"/>
      <c r="X17" s="10"/>
    </row>
    <row r="18" spans="1:24" ht="17.25" customHeight="1" x14ac:dyDescent="0.25">
      <c r="A18" s="189" t="s">
        <v>37</v>
      </c>
      <c r="B18" s="39" t="s">
        <v>141</v>
      </c>
      <c r="C18" s="23">
        <f>+'NATAGA-18'!D$9</f>
        <v>17230</v>
      </c>
      <c r="D18" s="23">
        <f>+'NATAGA-18'!E$9</f>
        <v>17098</v>
      </c>
      <c r="E18" s="23">
        <f>+'NATAGA-18'!F$9</f>
        <v>19579</v>
      </c>
      <c r="F18" s="23">
        <f>+'NATAGA-18'!G$9</f>
        <v>15941</v>
      </c>
      <c r="G18" s="23">
        <f>+'NATAGA-18'!H$9</f>
        <v>17254</v>
      </c>
      <c r="H18" s="23">
        <f>+'NATAGA-18'!I$9</f>
        <v>17969</v>
      </c>
      <c r="I18" s="23">
        <f>+'NATAGA-18'!J$9</f>
        <v>19082</v>
      </c>
      <c r="J18" s="23">
        <f>+'NATAGA-18'!K$9</f>
        <v>18838</v>
      </c>
      <c r="K18" s="23">
        <f>+'NATAGA-18'!L$9</f>
        <v>19517.791999999998</v>
      </c>
      <c r="L18" s="23">
        <f>+'NATAGA-18'!M$9</f>
        <v>20083.552</v>
      </c>
      <c r="M18" s="23">
        <f>+'NATAGA-18'!N$9</f>
        <v>18627.051999999996</v>
      </c>
      <c r="N18" s="23">
        <f>+'NATAGA-18'!O$9</f>
        <v>19448</v>
      </c>
      <c r="O18" s="24">
        <f>SUM(C18:N18)</f>
        <v>220667.39599999998</v>
      </c>
      <c r="V18" s="9"/>
      <c r="W18" s="10"/>
      <c r="X18" s="10"/>
    </row>
    <row r="19" spans="1:24" ht="17.25" customHeight="1" x14ac:dyDescent="0.25">
      <c r="A19" s="189"/>
      <c r="B19" s="39" t="s">
        <v>142</v>
      </c>
      <c r="C19" s="23">
        <f>+'NATAGA-18'!D$10</f>
        <v>8881</v>
      </c>
      <c r="D19" s="23">
        <f>+'NATAGA-18'!E$10</f>
        <v>7342</v>
      </c>
      <c r="E19" s="23">
        <f>+'NATAGA-18'!F$10</f>
        <v>7076</v>
      </c>
      <c r="F19" s="23">
        <f>+'NATAGA-18'!G$10</f>
        <v>8986</v>
      </c>
      <c r="G19" s="23">
        <f>+'NATAGA-18'!H$10</f>
        <v>8144</v>
      </c>
      <c r="H19" s="23">
        <f>+'NATAGA-18'!I$10</f>
        <v>8180</v>
      </c>
      <c r="I19" s="23">
        <f>+'NATAGA-18'!J$10</f>
        <v>9618</v>
      </c>
      <c r="J19" s="23">
        <f>+'NATAGA-18'!K$10</f>
        <v>8532</v>
      </c>
      <c r="K19" s="23">
        <f>+'NATAGA-18'!L$10</f>
        <v>10361</v>
      </c>
      <c r="L19" s="23">
        <f>+'NATAGA-18'!M$10</f>
        <v>7344</v>
      </c>
      <c r="M19" s="23">
        <f>+'NATAGA-18'!N$10</f>
        <v>8216</v>
      </c>
      <c r="N19" s="23">
        <f>+'NATAGA-18'!O$10</f>
        <v>7297</v>
      </c>
      <c r="O19" s="24">
        <f>SUM(C19:N19)</f>
        <v>99977</v>
      </c>
      <c r="V19" s="9"/>
      <c r="W19" s="10"/>
      <c r="X19" s="10"/>
    </row>
    <row r="20" spans="1:24" ht="12" customHeight="1" x14ac:dyDescent="0.25">
      <c r="A20" s="189"/>
      <c r="B20" s="13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19"/>
      <c r="V20" s="9"/>
      <c r="W20" s="10"/>
      <c r="X20" s="10"/>
    </row>
    <row r="21" spans="1:24" ht="13.5" customHeight="1" thickBot="1" x14ac:dyDescent="0.3">
      <c r="A21" s="190"/>
      <c r="B21" s="136" t="s">
        <v>3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20"/>
      <c r="V21" s="9"/>
      <c r="W21" s="10"/>
      <c r="X21" s="10"/>
    </row>
    <row r="22" spans="1:24" ht="14.25" customHeight="1" thickBot="1" x14ac:dyDescent="0.3">
      <c r="A22" s="191" t="s">
        <v>34</v>
      </c>
      <c r="B22" s="192"/>
      <c r="C22" s="193"/>
      <c r="D22" s="180" t="str">
        <f>'SET SP Nataga'!$G15</f>
        <v>Menor al 30%</v>
      </c>
      <c r="E22" s="181"/>
      <c r="F22" s="181"/>
      <c r="G22" s="182"/>
      <c r="H22" s="180" t="str">
        <f>'SET SP Nataga'!$H15</f>
        <v>Entre el 30% y el 50%</v>
      </c>
      <c r="I22" s="181"/>
      <c r="J22" s="181"/>
      <c r="K22" s="182"/>
      <c r="L22" s="180" t="str">
        <f>'SET SP Nataga'!$I15</f>
        <v>Mayor al 50%</v>
      </c>
      <c r="M22" s="185"/>
      <c r="N22" s="185"/>
      <c r="O22" s="186"/>
      <c r="V22" s="9"/>
      <c r="W22" s="10"/>
      <c r="X22" s="10"/>
    </row>
    <row r="23" spans="1:24" ht="33" customHeight="1" thickBot="1" x14ac:dyDescent="0.3">
      <c r="A23" s="194"/>
      <c r="B23" s="195"/>
      <c r="C23" s="195"/>
      <c r="D23" s="196" t="s">
        <v>7</v>
      </c>
      <c r="E23" s="196"/>
      <c r="F23" s="196"/>
      <c r="G23" s="196"/>
      <c r="H23" s="197" t="s">
        <v>61</v>
      </c>
      <c r="I23" s="197"/>
      <c r="J23" s="197"/>
      <c r="K23" s="197"/>
      <c r="L23" s="211" t="s">
        <v>62</v>
      </c>
      <c r="M23" s="211"/>
      <c r="N23" s="211"/>
      <c r="O23" s="212"/>
      <c r="V23" s="9"/>
      <c r="W23" s="10"/>
      <c r="X23" s="10"/>
    </row>
    <row r="24" spans="1:24" ht="15.75" customHeight="1" thickBot="1" x14ac:dyDescent="0.3">
      <c r="A24" s="213" t="s">
        <v>36</v>
      </c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5"/>
      <c r="V24" s="9"/>
      <c r="W24" s="10"/>
      <c r="X24" s="10"/>
    </row>
    <row r="25" spans="1:24" ht="264.75" customHeight="1" thickBot="1" x14ac:dyDescent="0.3">
      <c r="A25" s="177"/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9"/>
      <c r="V25" s="9"/>
    </row>
    <row r="26" spans="1:24" ht="15" customHeight="1" x14ac:dyDescent="0.25">
      <c r="A26" s="198" t="s">
        <v>58</v>
      </c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200" t="s">
        <v>60</v>
      </c>
      <c r="O26" s="201"/>
    </row>
    <row r="27" spans="1:24" ht="15" x14ac:dyDescent="0.25">
      <c r="A27" s="202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41">
        <v>43101</v>
      </c>
      <c r="O27" s="242"/>
    </row>
    <row r="28" spans="1:24" ht="15" x14ac:dyDescent="0.25">
      <c r="A28" s="202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41">
        <v>43132</v>
      </c>
      <c r="O28" s="242"/>
    </row>
    <row r="29" spans="1:24" ht="15" x14ac:dyDescent="0.25">
      <c r="A29" s="202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41">
        <v>43160</v>
      </c>
      <c r="O29" s="242"/>
    </row>
    <row r="30" spans="1:24" ht="15" x14ac:dyDescent="0.25">
      <c r="A30" s="202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41">
        <v>43191</v>
      </c>
      <c r="O30" s="242"/>
    </row>
    <row r="31" spans="1:24" ht="15" x14ac:dyDescent="0.25">
      <c r="A31" s="202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41">
        <v>43221</v>
      </c>
      <c r="O31" s="242"/>
    </row>
    <row r="32" spans="1:24" ht="15" x14ac:dyDescent="0.25">
      <c r="A32" s="202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41">
        <v>43252</v>
      </c>
      <c r="O32" s="242"/>
    </row>
    <row r="33" spans="1:17" ht="15" x14ac:dyDescent="0.25">
      <c r="A33" s="202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41">
        <v>43282</v>
      </c>
      <c r="O33" s="242"/>
    </row>
    <row r="34" spans="1:17" ht="15" x14ac:dyDescent="0.25">
      <c r="A34" s="202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41">
        <v>43313</v>
      </c>
      <c r="O34" s="242"/>
    </row>
    <row r="35" spans="1:17" ht="15" x14ac:dyDescent="0.25">
      <c r="A35" s="202"/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41">
        <v>43344</v>
      </c>
      <c r="O35" s="242"/>
    </row>
    <row r="36" spans="1:17" ht="15" x14ac:dyDescent="0.25">
      <c r="A36" s="202"/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41">
        <v>43374</v>
      </c>
      <c r="O36" s="242"/>
    </row>
    <row r="37" spans="1:17" ht="15" x14ac:dyDescent="0.25">
      <c r="A37" s="202"/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41">
        <v>43405</v>
      </c>
      <c r="O37" s="242"/>
    </row>
    <row r="38" spans="1:17" ht="15.75" thickBot="1" x14ac:dyDescent="0.3">
      <c r="A38" s="202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41">
        <v>43435</v>
      </c>
      <c r="O38" s="242"/>
    </row>
    <row r="39" spans="1:17" ht="19.5" customHeight="1" x14ac:dyDescent="0.25">
      <c r="A39" s="198" t="s">
        <v>59</v>
      </c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200" t="s">
        <v>60</v>
      </c>
      <c r="O39" s="201"/>
    </row>
    <row r="40" spans="1:17" ht="15" x14ac:dyDescent="0.25">
      <c r="A40" s="202"/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4"/>
      <c r="O40" s="205"/>
    </row>
    <row r="41" spans="1:17" ht="15.75" thickBot="1" x14ac:dyDescent="0.3">
      <c r="A41" s="202"/>
      <c r="B41" s="203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4"/>
      <c r="O41" s="205"/>
    </row>
    <row r="42" spans="1:17" ht="14.25" x14ac:dyDescent="0.2">
      <c r="A42" s="176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  <c r="Q42" s="48" t="s">
        <v>86</v>
      </c>
    </row>
    <row r="43" spans="1:17" ht="14.25" x14ac:dyDescent="0.2">
      <c r="Q43" s="48" t="s">
        <v>87</v>
      </c>
    </row>
    <row r="44" spans="1:17" ht="14.25" x14ac:dyDescent="0.2">
      <c r="Q44" s="48" t="s">
        <v>88</v>
      </c>
    </row>
    <row r="45" spans="1:17" ht="14.25" x14ac:dyDescent="0.2">
      <c r="Q45" s="48" t="s">
        <v>89</v>
      </c>
    </row>
    <row r="46" spans="1:17" ht="14.25" x14ac:dyDescent="0.2">
      <c r="Q46" s="48" t="s">
        <v>90</v>
      </c>
    </row>
    <row r="47" spans="1:17" ht="14.25" x14ac:dyDescent="0.2">
      <c r="Q47" s="48" t="s">
        <v>91</v>
      </c>
    </row>
    <row r="48" spans="1:17" ht="14.25" x14ac:dyDescent="0.2">
      <c r="Q48" s="48" t="s">
        <v>92</v>
      </c>
    </row>
    <row r="49" spans="17:17" ht="14.25" x14ac:dyDescent="0.2">
      <c r="Q49" s="48" t="s">
        <v>93</v>
      </c>
    </row>
    <row r="51" spans="17:17" x14ac:dyDescent="0.25">
      <c r="Q51" s="43">
        <v>0.3</v>
      </c>
    </row>
    <row r="52" spans="17:17" x14ac:dyDescent="0.25">
      <c r="Q52" s="43">
        <v>0.29899999999999999</v>
      </c>
    </row>
  </sheetData>
  <sheetProtection algorithmName="SHA-512" hashValue="zwoa67EHRQ9lPjUIQ3uHfzBdRXZO/kBbI/muRcGKimnbcIIbVRE+lWX0WOVwHrA82OUMgfzjDuiGIxlo4GGOYA==" saltValue="z6tTTzfhO50z9Id/0hEg7Q==" spinCount="100000" sheet="1" objects="1" scenarios="1"/>
  <mergeCells count="74">
    <mergeCell ref="N29:O29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A34:M34"/>
    <mergeCell ref="A35:M35"/>
    <mergeCell ref="A36:M36"/>
    <mergeCell ref="A37:M37"/>
    <mergeCell ref="A38:M38"/>
    <mergeCell ref="A29:M29"/>
    <mergeCell ref="A30:M30"/>
    <mergeCell ref="A31:M31"/>
    <mergeCell ref="A32:M32"/>
    <mergeCell ref="A33:M33"/>
    <mergeCell ref="A42:O42"/>
    <mergeCell ref="A39:M39"/>
    <mergeCell ref="N39:O39"/>
    <mergeCell ref="A40:M40"/>
    <mergeCell ref="N40:O40"/>
    <mergeCell ref="A41:M41"/>
    <mergeCell ref="N41:O41"/>
    <mergeCell ref="A26:M26"/>
    <mergeCell ref="N26:O26"/>
    <mergeCell ref="A27:M27"/>
    <mergeCell ref="N27:O27"/>
    <mergeCell ref="A28:M28"/>
    <mergeCell ref="N28:O28"/>
    <mergeCell ref="A25:O25"/>
    <mergeCell ref="A16:B16"/>
    <mergeCell ref="A17:B17"/>
    <mergeCell ref="A18:A21"/>
    <mergeCell ref="A22:C23"/>
    <mergeCell ref="D22:G22"/>
    <mergeCell ref="H22:K22"/>
    <mergeCell ref="L22:O22"/>
    <mergeCell ref="D23:G23"/>
    <mergeCell ref="H23:K23"/>
    <mergeCell ref="L23:O23"/>
    <mergeCell ref="A24:O24"/>
    <mergeCell ref="A15:B15"/>
    <mergeCell ref="L7:O7"/>
    <mergeCell ref="L8:M8"/>
    <mergeCell ref="N8:O8"/>
    <mergeCell ref="A9:D9"/>
    <mergeCell ref="F9:G9"/>
    <mergeCell ref="J9:O9"/>
    <mergeCell ref="A10:O10"/>
    <mergeCell ref="A11:O11"/>
    <mergeCell ref="A12:O12"/>
    <mergeCell ref="A13:O13"/>
    <mergeCell ref="A14:B14"/>
    <mergeCell ref="A5:E5"/>
    <mergeCell ref="F5:O5"/>
    <mergeCell ref="A6:E6"/>
    <mergeCell ref="G6:O6"/>
    <mergeCell ref="A7:D8"/>
    <mergeCell ref="E7:E8"/>
    <mergeCell ref="F7:G8"/>
    <mergeCell ref="H7:H8"/>
    <mergeCell ref="I7:I8"/>
    <mergeCell ref="J7:K8"/>
    <mergeCell ref="A4:E4"/>
    <mergeCell ref="F4:O4"/>
    <mergeCell ref="A1:C2"/>
    <mergeCell ref="D1:O1"/>
    <mergeCell ref="D2:O2"/>
    <mergeCell ref="A3:E3"/>
    <mergeCell ref="F3:O3"/>
  </mergeCells>
  <dataValidations count="1">
    <dataValidation type="list" allowBlank="1" showInputMessage="1" showErrorMessage="1" sqref="J9:O9">
      <formula1>$Q$42:$Q$49</formula1>
    </dataValidation>
  </dataValidations>
  <pageMargins left="0.39370078740157483" right="0.39370078740157483" top="0.35433070866141736" bottom="0.35433070866141736" header="0" footer="0"/>
  <pageSetup scale="73" orientation="portrait" horizontalDpi="4294967294" verticalDpi="4294967294" r:id="rId1"/>
  <headerFooter alignWithMargins="0">
    <oddFooter>&amp;R&amp;8Diseñado por: Wilson Andrade González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59"/>
  <sheetViews>
    <sheetView windowProtection="1" topLeftCell="A26" zoomScaleSheetLayoutView="72" workbookViewId="0">
      <selection activeCell="N27" sqref="N27:O38"/>
    </sheetView>
  </sheetViews>
  <sheetFormatPr baseColWidth="10" defaultRowHeight="12.75" x14ac:dyDescent="0.25"/>
  <cols>
    <col min="1" max="1" width="3.85546875" style="3" customWidth="1"/>
    <col min="2" max="2" width="26.85546875" style="3" customWidth="1"/>
    <col min="3" max="11" width="7.7109375" style="3" customWidth="1"/>
    <col min="12" max="12" width="8.28515625" style="3" customWidth="1"/>
    <col min="13" max="14" width="7.7109375" style="3" customWidth="1"/>
    <col min="15" max="15" width="8.42578125" style="3" customWidth="1"/>
    <col min="16" max="16" width="5.7109375" style="3" customWidth="1"/>
    <col min="17" max="18" width="5.7109375" style="3" hidden="1" customWidth="1"/>
    <col min="19" max="19" width="5.7109375" style="3" customWidth="1"/>
    <col min="20" max="20" width="11.42578125" style="3" customWidth="1"/>
    <col min="21" max="21" width="9" style="3" customWidth="1"/>
    <col min="22" max="22" width="5.7109375" style="3" customWidth="1"/>
    <col min="23" max="23" width="10.42578125" style="3" customWidth="1"/>
    <col min="24" max="24" width="10" style="3" customWidth="1"/>
    <col min="25" max="257" width="11.42578125" style="3"/>
    <col min="258" max="258" width="26.85546875" style="3" customWidth="1"/>
    <col min="259" max="267" width="7.7109375" style="3" customWidth="1"/>
    <col min="268" max="268" width="8.28515625" style="3" customWidth="1"/>
    <col min="269" max="271" width="7.7109375" style="3" customWidth="1"/>
    <col min="272" max="513" width="11.42578125" style="3"/>
    <col min="514" max="514" width="26.85546875" style="3" customWidth="1"/>
    <col min="515" max="523" width="7.7109375" style="3" customWidth="1"/>
    <col min="524" max="524" width="8.28515625" style="3" customWidth="1"/>
    <col min="525" max="527" width="7.7109375" style="3" customWidth="1"/>
    <col min="528" max="769" width="11.42578125" style="3"/>
    <col min="770" max="770" width="26.85546875" style="3" customWidth="1"/>
    <col min="771" max="779" width="7.7109375" style="3" customWidth="1"/>
    <col min="780" max="780" width="8.28515625" style="3" customWidth="1"/>
    <col min="781" max="783" width="7.7109375" style="3" customWidth="1"/>
    <col min="784" max="1025" width="11.42578125" style="3"/>
    <col min="1026" max="1026" width="26.85546875" style="3" customWidth="1"/>
    <col min="1027" max="1035" width="7.7109375" style="3" customWidth="1"/>
    <col min="1036" max="1036" width="8.28515625" style="3" customWidth="1"/>
    <col min="1037" max="1039" width="7.7109375" style="3" customWidth="1"/>
    <col min="1040" max="1281" width="11.42578125" style="3"/>
    <col min="1282" max="1282" width="26.85546875" style="3" customWidth="1"/>
    <col min="1283" max="1291" width="7.7109375" style="3" customWidth="1"/>
    <col min="1292" max="1292" width="8.28515625" style="3" customWidth="1"/>
    <col min="1293" max="1295" width="7.7109375" style="3" customWidth="1"/>
    <col min="1296" max="1537" width="11.42578125" style="3"/>
    <col min="1538" max="1538" width="26.85546875" style="3" customWidth="1"/>
    <col min="1539" max="1547" width="7.7109375" style="3" customWidth="1"/>
    <col min="1548" max="1548" width="8.28515625" style="3" customWidth="1"/>
    <col min="1549" max="1551" width="7.7109375" style="3" customWidth="1"/>
    <col min="1552" max="1793" width="11.42578125" style="3"/>
    <col min="1794" max="1794" width="26.85546875" style="3" customWidth="1"/>
    <col min="1795" max="1803" width="7.7109375" style="3" customWidth="1"/>
    <col min="1804" max="1804" width="8.28515625" style="3" customWidth="1"/>
    <col min="1805" max="1807" width="7.7109375" style="3" customWidth="1"/>
    <col min="1808" max="2049" width="11.42578125" style="3"/>
    <col min="2050" max="2050" width="26.85546875" style="3" customWidth="1"/>
    <col min="2051" max="2059" width="7.7109375" style="3" customWidth="1"/>
    <col min="2060" max="2060" width="8.28515625" style="3" customWidth="1"/>
    <col min="2061" max="2063" width="7.7109375" style="3" customWidth="1"/>
    <col min="2064" max="2305" width="11.42578125" style="3"/>
    <col min="2306" max="2306" width="26.85546875" style="3" customWidth="1"/>
    <col min="2307" max="2315" width="7.7109375" style="3" customWidth="1"/>
    <col min="2316" max="2316" width="8.28515625" style="3" customWidth="1"/>
    <col min="2317" max="2319" width="7.7109375" style="3" customWidth="1"/>
    <col min="2320" max="2561" width="11.42578125" style="3"/>
    <col min="2562" max="2562" width="26.85546875" style="3" customWidth="1"/>
    <col min="2563" max="2571" width="7.7109375" style="3" customWidth="1"/>
    <col min="2572" max="2572" width="8.28515625" style="3" customWidth="1"/>
    <col min="2573" max="2575" width="7.7109375" style="3" customWidth="1"/>
    <col min="2576" max="2817" width="11.42578125" style="3"/>
    <col min="2818" max="2818" width="26.85546875" style="3" customWidth="1"/>
    <col min="2819" max="2827" width="7.7109375" style="3" customWidth="1"/>
    <col min="2828" max="2828" width="8.28515625" style="3" customWidth="1"/>
    <col min="2829" max="2831" width="7.7109375" style="3" customWidth="1"/>
    <col min="2832" max="3073" width="11.42578125" style="3"/>
    <col min="3074" max="3074" width="26.85546875" style="3" customWidth="1"/>
    <col min="3075" max="3083" width="7.7109375" style="3" customWidth="1"/>
    <col min="3084" max="3084" width="8.28515625" style="3" customWidth="1"/>
    <col min="3085" max="3087" width="7.7109375" style="3" customWidth="1"/>
    <col min="3088" max="3329" width="11.42578125" style="3"/>
    <col min="3330" max="3330" width="26.85546875" style="3" customWidth="1"/>
    <col min="3331" max="3339" width="7.7109375" style="3" customWidth="1"/>
    <col min="3340" max="3340" width="8.28515625" style="3" customWidth="1"/>
    <col min="3341" max="3343" width="7.7109375" style="3" customWidth="1"/>
    <col min="3344" max="3585" width="11.42578125" style="3"/>
    <col min="3586" max="3586" width="26.85546875" style="3" customWidth="1"/>
    <col min="3587" max="3595" width="7.7109375" style="3" customWidth="1"/>
    <col min="3596" max="3596" width="8.28515625" style="3" customWidth="1"/>
    <col min="3597" max="3599" width="7.7109375" style="3" customWidth="1"/>
    <col min="3600" max="3841" width="11.42578125" style="3"/>
    <col min="3842" max="3842" width="26.85546875" style="3" customWidth="1"/>
    <col min="3843" max="3851" width="7.7109375" style="3" customWidth="1"/>
    <col min="3852" max="3852" width="8.28515625" style="3" customWidth="1"/>
    <col min="3853" max="3855" width="7.7109375" style="3" customWidth="1"/>
    <col min="3856" max="4097" width="11.42578125" style="3"/>
    <col min="4098" max="4098" width="26.85546875" style="3" customWidth="1"/>
    <col min="4099" max="4107" width="7.7109375" style="3" customWidth="1"/>
    <col min="4108" max="4108" width="8.28515625" style="3" customWidth="1"/>
    <col min="4109" max="4111" width="7.7109375" style="3" customWidth="1"/>
    <col min="4112" max="4353" width="11.42578125" style="3"/>
    <col min="4354" max="4354" width="26.85546875" style="3" customWidth="1"/>
    <col min="4355" max="4363" width="7.7109375" style="3" customWidth="1"/>
    <col min="4364" max="4364" width="8.28515625" style="3" customWidth="1"/>
    <col min="4365" max="4367" width="7.7109375" style="3" customWidth="1"/>
    <col min="4368" max="4609" width="11.42578125" style="3"/>
    <col min="4610" max="4610" width="26.85546875" style="3" customWidth="1"/>
    <col min="4611" max="4619" width="7.7109375" style="3" customWidth="1"/>
    <col min="4620" max="4620" width="8.28515625" style="3" customWidth="1"/>
    <col min="4621" max="4623" width="7.7109375" style="3" customWidth="1"/>
    <col min="4624" max="4865" width="11.42578125" style="3"/>
    <col min="4866" max="4866" width="26.85546875" style="3" customWidth="1"/>
    <col min="4867" max="4875" width="7.7109375" style="3" customWidth="1"/>
    <col min="4876" max="4876" width="8.28515625" style="3" customWidth="1"/>
    <col min="4877" max="4879" width="7.7109375" style="3" customWidth="1"/>
    <col min="4880" max="5121" width="11.42578125" style="3"/>
    <col min="5122" max="5122" width="26.85546875" style="3" customWidth="1"/>
    <col min="5123" max="5131" width="7.7109375" style="3" customWidth="1"/>
    <col min="5132" max="5132" width="8.28515625" style="3" customWidth="1"/>
    <col min="5133" max="5135" width="7.7109375" style="3" customWidth="1"/>
    <col min="5136" max="5377" width="11.42578125" style="3"/>
    <col min="5378" max="5378" width="26.85546875" style="3" customWidth="1"/>
    <col min="5379" max="5387" width="7.7109375" style="3" customWidth="1"/>
    <col min="5388" max="5388" width="8.28515625" style="3" customWidth="1"/>
    <col min="5389" max="5391" width="7.7109375" style="3" customWidth="1"/>
    <col min="5392" max="5633" width="11.42578125" style="3"/>
    <col min="5634" max="5634" width="26.85546875" style="3" customWidth="1"/>
    <col min="5635" max="5643" width="7.7109375" style="3" customWidth="1"/>
    <col min="5644" max="5644" width="8.28515625" style="3" customWidth="1"/>
    <col min="5645" max="5647" width="7.7109375" style="3" customWidth="1"/>
    <col min="5648" max="5889" width="11.42578125" style="3"/>
    <col min="5890" max="5890" width="26.85546875" style="3" customWidth="1"/>
    <col min="5891" max="5899" width="7.7109375" style="3" customWidth="1"/>
    <col min="5900" max="5900" width="8.28515625" style="3" customWidth="1"/>
    <col min="5901" max="5903" width="7.7109375" style="3" customWidth="1"/>
    <col min="5904" max="6145" width="11.42578125" style="3"/>
    <col min="6146" max="6146" width="26.85546875" style="3" customWidth="1"/>
    <col min="6147" max="6155" width="7.7109375" style="3" customWidth="1"/>
    <col min="6156" max="6156" width="8.28515625" style="3" customWidth="1"/>
    <col min="6157" max="6159" width="7.7109375" style="3" customWidth="1"/>
    <col min="6160" max="6401" width="11.42578125" style="3"/>
    <col min="6402" max="6402" width="26.85546875" style="3" customWidth="1"/>
    <col min="6403" max="6411" width="7.7109375" style="3" customWidth="1"/>
    <col min="6412" max="6412" width="8.28515625" style="3" customWidth="1"/>
    <col min="6413" max="6415" width="7.7109375" style="3" customWidth="1"/>
    <col min="6416" max="6657" width="11.42578125" style="3"/>
    <col min="6658" max="6658" width="26.85546875" style="3" customWidth="1"/>
    <col min="6659" max="6667" width="7.7109375" style="3" customWidth="1"/>
    <col min="6668" max="6668" width="8.28515625" style="3" customWidth="1"/>
    <col min="6669" max="6671" width="7.7109375" style="3" customWidth="1"/>
    <col min="6672" max="6913" width="11.42578125" style="3"/>
    <col min="6914" max="6914" width="26.85546875" style="3" customWidth="1"/>
    <col min="6915" max="6923" width="7.7109375" style="3" customWidth="1"/>
    <col min="6924" max="6924" width="8.28515625" style="3" customWidth="1"/>
    <col min="6925" max="6927" width="7.7109375" style="3" customWidth="1"/>
    <col min="6928" max="7169" width="11.42578125" style="3"/>
    <col min="7170" max="7170" width="26.85546875" style="3" customWidth="1"/>
    <col min="7171" max="7179" width="7.7109375" style="3" customWidth="1"/>
    <col min="7180" max="7180" width="8.28515625" style="3" customWidth="1"/>
    <col min="7181" max="7183" width="7.7109375" style="3" customWidth="1"/>
    <col min="7184" max="7425" width="11.42578125" style="3"/>
    <col min="7426" max="7426" width="26.85546875" style="3" customWidth="1"/>
    <col min="7427" max="7435" width="7.7109375" style="3" customWidth="1"/>
    <col min="7436" max="7436" width="8.28515625" style="3" customWidth="1"/>
    <col min="7437" max="7439" width="7.7109375" style="3" customWidth="1"/>
    <col min="7440" max="7681" width="11.42578125" style="3"/>
    <col min="7682" max="7682" width="26.85546875" style="3" customWidth="1"/>
    <col min="7683" max="7691" width="7.7109375" style="3" customWidth="1"/>
    <col min="7692" max="7692" width="8.28515625" style="3" customWidth="1"/>
    <col min="7693" max="7695" width="7.7109375" style="3" customWidth="1"/>
    <col min="7696" max="7937" width="11.42578125" style="3"/>
    <col min="7938" max="7938" width="26.85546875" style="3" customWidth="1"/>
    <col min="7939" max="7947" width="7.7109375" style="3" customWidth="1"/>
    <col min="7948" max="7948" width="8.28515625" style="3" customWidth="1"/>
    <col min="7949" max="7951" width="7.7109375" style="3" customWidth="1"/>
    <col min="7952" max="8193" width="11.42578125" style="3"/>
    <col min="8194" max="8194" width="26.85546875" style="3" customWidth="1"/>
    <col min="8195" max="8203" width="7.7109375" style="3" customWidth="1"/>
    <col min="8204" max="8204" width="8.28515625" style="3" customWidth="1"/>
    <col min="8205" max="8207" width="7.7109375" style="3" customWidth="1"/>
    <col min="8208" max="8449" width="11.42578125" style="3"/>
    <col min="8450" max="8450" width="26.85546875" style="3" customWidth="1"/>
    <col min="8451" max="8459" width="7.7109375" style="3" customWidth="1"/>
    <col min="8460" max="8460" width="8.28515625" style="3" customWidth="1"/>
    <col min="8461" max="8463" width="7.7109375" style="3" customWidth="1"/>
    <col min="8464" max="8705" width="11.42578125" style="3"/>
    <col min="8706" max="8706" width="26.85546875" style="3" customWidth="1"/>
    <col min="8707" max="8715" width="7.7109375" style="3" customWidth="1"/>
    <col min="8716" max="8716" width="8.28515625" style="3" customWidth="1"/>
    <col min="8717" max="8719" width="7.7109375" style="3" customWidth="1"/>
    <col min="8720" max="8961" width="11.42578125" style="3"/>
    <col min="8962" max="8962" width="26.85546875" style="3" customWidth="1"/>
    <col min="8963" max="8971" width="7.7109375" style="3" customWidth="1"/>
    <col min="8972" max="8972" width="8.28515625" style="3" customWidth="1"/>
    <col min="8973" max="8975" width="7.7109375" style="3" customWidth="1"/>
    <col min="8976" max="9217" width="11.42578125" style="3"/>
    <col min="9218" max="9218" width="26.85546875" style="3" customWidth="1"/>
    <col min="9219" max="9227" width="7.7109375" style="3" customWidth="1"/>
    <col min="9228" max="9228" width="8.28515625" style="3" customWidth="1"/>
    <col min="9229" max="9231" width="7.7109375" style="3" customWidth="1"/>
    <col min="9232" max="9473" width="11.42578125" style="3"/>
    <col min="9474" max="9474" width="26.85546875" style="3" customWidth="1"/>
    <col min="9475" max="9483" width="7.7109375" style="3" customWidth="1"/>
    <col min="9484" max="9484" width="8.28515625" style="3" customWidth="1"/>
    <col min="9485" max="9487" width="7.7109375" style="3" customWidth="1"/>
    <col min="9488" max="9729" width="11.42578125" style="3"/>
    <col min="9730" max="9730" width="26.85546875" style="3" customWidth="1"/>
    <col min="9731" max="9739" width="7.7109375" style="3" customWidth="1"/>
    <col min="9740" max="9740" width="8.28515625" style="3" customWidth="1"/>
    <col min="9741" max="9743" width="7.7109375" style="3" customWidth="1"/>
    <col min="9744" max="9985" width="11.42578125" style="3"/>
    <col min="9986" max="9986" width="26.85546875" style="3" customWidth="1"/>
    <col min="9987" max="9995" width="7.7109375" style="3" customWidth="1"/>
    <col min="9996" max="9996" width="8.28515625" style="3" customWidth="1"/>
    <col min="9997" max="9999" width="7.7109375" style="3" customWidth="1"/>
    <col min="10000" max="10241" width="11.42578125" style="3"/>
    <col min="10242" max="10242" width="26.85546875" style="3" customWidth="1"/>
    <col min="10243" max="10251" width="7.7109375" style="3" customWidth="1"/>
    <col min="10252" max="10252" width="8.28515625" style="3" customWidth="1"/>
    <col min="10253" max="10255" width="7.7109375" style="3" customWidth="1"/>
    <col min="10256" max="10497" width="11.42578125" style="3"/>
    <col min="10498" max="10498" width="26.85546875" style="3" customWidth="1"/>
    <col min="10499" max="10507" width="7.7109375" style="3" customWidth="1"/>
    <col min="10508" max="10508" width="8.28515625" style="3" customWidth="1"/>
    <col min="10509" max="10511" width="7.7109375" style="3" customWidth="1"/>
    <col min="10512" max="10753" width="11.42578125" style="3"/>
    <col min="10754" max="10754" width="26.85546875" style="3" customWidth="1"/>
    <col min="10755" max="10763" width="7.7109375" style="3" customWidth="1"/>
    <col min="10764" max="10764" width="8.28515625" style="3" customWidth="1"/>
    <col min="10765" max="10767" width="7.7109375" style="3" customWidth="1"/>
    <col min="10768" max="11009" width="11.42578125" style="3"/>
    <col min="11010" max="11010" width="26.85546875" style="3" customWidth="1"/>
    <col min="11011" max="11019" width="7.7109375" style="3" customWidth="1"/>
    <col min="11020" max="11020" width="8.28515625" style="3" customWidth="1"/>
    <col min="11021" max="11023" width="7.7109375" style="3" customWidth="1"/>
    <col min="11024" max="11265" width="11.42578125" style="3"/>
    <col min="11266" max="11266" width="26.85546875" style="3" customWidth="1"/>
    <col min="11267" max="11275" width="7.7109375" style="3" customWidth="1"/>
    <col min="11276" max="11276" width="8.28515625" style="3" customWidth="1"/>
    <col min="11277" max="11279" width="7.7109375" style="3" customWidth="1"/>
    <col min="11280" max="11521" width="11.42578125" style="3"/>
    <col min="11522" max="11522" width="26.85546875" style="3" customWidth="1"/>
    <col min="11523" max="11531" width="7.7109375" style="3" customWidth="1"/>
    <col min="11532" max="11532" width="8.28515625" style="3" customWidth="1"/>
    <col min="11533" max="11535" width="7.7109375" style="3" customWidth="1"/>
    <col min="11536" max="11777" width="11.42578125" style="3"/>
    <col min="11778" max="11778" width="26.85546875" style="3" customWidth="1"/>
    <col min="11779" max="11787" width="7.7109375" style="3" customWidth="1"/>
    <col min="11788" max="11788" width="8.28515625" style="3" customWidth="1"/>
    <col min="11789" max="11791" width="7.7109375" style="3" customWidth="1"/>
    <col min="11792" max="12033" width="11.42578125" style="3"/>
    <col min="12034" max="12034" width="26.85546875" style="3" customWidth="1"/>
    <col min="12035" max="12043" width="7.7109375" style="3" customWidth="1"/>
    <col min="12044" max="12044" width="8.28515625" style="3" customWidth="1"/>
    <col min="12045" max="12047" width="7.7109375" style="3" customWidth="1"/>
    <col min="12048" max="12289" width="11.42578125" style="3"/>
    <col min="12290" max="12290" width="26.85546875" style="3" customWidth="1"/>
    <col min="12291" max="12299" width="7.7109375" style="3" customWidth="1"/>
    <col min="12300" max="12300" width="8.28515625" style="3" customWidth="1"/>
    <col min="12301" max="12303" width="7.7109375" style="3" customWidth="1"/>
    <col min="12304" max="12545" width="11.42578125" style="3"/>
    <col min="12546" max="12546" width="26.85546875" style="3" customWidth="1"/>
    <col min="12547" max="12555" width="7.7109375" style="3" customWidth="1"/>
    <col min="12556" max="12556" width="8.28515625" style="3" customWidth="1"/>
    <col min="12557" max="12559" width="7.7109375" style="3" customWidth="1"/>
    <col min="12560" max="12801" width="11.42578125" style="3"/>
    <col min="12802" max="12802" width="26.85546875" style="3" customWidth="1"/>
    <col min="12803" max="12811" width="7.7109375" style="3" customWidth="1"/>
    <col min="12812" max="12812" width="8.28515625" style="3" customWidth="1"/>
    <col min="12813" max="12815" width="7.7109375" style="3" customWidth="1"/>
    <col min="12816" max="13057" width="11.42578125" style="3"/>
    <col min="13058" max="13058" width="26.85546875" style="3" customWidth="1"/>
    <col min="13059" max="13067" width="7.7109375" style="3" customWidth="1"/>
    <col min="13068" max="13068" width="8.28515625" style="3" customWidth="1"/>
    <col min="13069" max="13071" width="7.7109375" style="3" customWidth="1"/>
    <col min="13072" max="13313" width="11.42578125" style="3"/>
    <col min="13314" max="13314" width="26.85546875" style="3" customWidth="1"/>
    <col min="13315" max="13323" width="7.7109375" style="3" customWidth="1"/>
    <col min="13324" max="13324" width="8.28515625" style="3" customWidth="1"/>
    <col min="13325" max="13327" width="7.7109375" style="3" customWidth="1"/>
    <col min="13328" max="13569" width="11.42578125" style="3"/>
    <col min="13570" max="13570" width="26.85546875" style="3" customWidth="1"/>
    <col min="13571" max="13579" width="7.7109375" style="3" customWidth="1"/>
    <col min="13580" max="13580" width="8.28515625" style="3" customWidth="1"/>
    <col min="13581" max="13583" width="7.7109375" style="3" customWidth="1"/>
    <col min="13584" max="13825" width="11.42578125" style="3"/>
    <col min="13826" max="13826" width="26.85546875" style="3" customWidth="1"/>
    <col min="13827" max="13835" width="7.7109375" style="3" customWidth="1"/>
    <col min="13836" max="13836" width="8.28515625" style="3" customWidth="1"/>
    <col min="13837" max="13839" width="7.7109375" style="3" customWidth="1"/>
    <col min="13840" max="14081" width="11.42578125" style="3"/>
    <col min="14082" max="14082" width="26.85546875" style="3" customWidth="1"/>
    <col min="14083" max="14091" width="7.7109375" style="3" customWidth="1"/>
    <col min="14092" max="14092" width="8.28515625" style="3" customWidth="1"/>
    <col min="14093" max="14095" width="7.7109375" style="3" customWidth="1"/>
    <col min="14096" max="14337" width="11.42578125" style="3"/>
    <col min="14338" max="14338" width="26.85546875" style="3" customWidth="1"/>
    <col min="14339" max="14347" width="7.7109375" style="3" customWidth="1"/>
    <col min="14348" max="14348" width="8.28515625" style="3" customWidth="1"/>
    <col min="14349" max="14351" width="7.7109375" style="3" customWidth="1"/>
    <col min="14352" max="14593" width="11.42578125" style="3"/>
    <col min="14594" max="14594" width="26.85546875" style="3" customWidth="1"/>
    <col min="14595" max="14603" width="7.7109375" style="3" customWidth="1"/>
    <col min="14604" max="14604" width="8.28515625" style="3" customWidth="1"/>
    <col min="14605" max="14607" width="7.7109375" style="3" customWidth="1"/>
    <col min="14608" max="14849" width="11.42578125" style="3"/>
    <col min="14850" max="14850" width="26.85546875" style="3" customWidth="1"/>
    <col min="14851" max="14859" width="7.7109375" style="3" customWidth="1"/>
    <col min="14860" max="14860" width="8.28515625" style="3" customWidth="1"/>
    <col min="14861" max="14863" width="7.7109375" style="3" customWidth="1"/>
    <col min="14864" max="15105" width="11.42578125" style="3"/>
    <col min="15106" max="15106" width="26.85546875" style="3" customWidth="1"/>
    <col min="15107" max="15115" width="7.7109375" style="3" customWidth="1"/>
    <col min="15116" max="15116" width="8.28515625" style="3" customWidth="1"/>
    <col min="15117" max="15119" width="7.7109375" style="3" customWidth="1"/>
    <col min="15120" max="15361" width="11.42578125" style="3"/>
    <col min="15362" max="15362" width="26.85546875" style="3" customWidth="1"/>
    <col min="15363" max="15371" width="7.7109375" style="3" customWidth="1"/>
    <col min="15372" max="15372" width="8.28515625" style="3" customWidth="1"/>
    <col min="15373" max="15375" width="7.7109375" style="3" customWidth="1"/>
    <col min="15376" max="15617" width="11.42578125" style="3"/>
    <col min="15618" max="15618" width="26.85546875" style="3" customWidth="1"/>
    <col min="15619" max="15627" width="7.7109375" style="3" customWidth="1"/>
    <col min="15628" max="15628" width="8.28515625" style="3" customWidth="1"/>
    <col min="15629" max="15631" width="7.7109375" style="3" customWidth="1"/>
    <col min="15632" max="15873" width="11.42578125" style="3"/>
    <col min="15874" max="15874" width="26.85546875" style="3" customWidth="1"/>
    <col min="15875" max="15883" width="7.7109375" style="3" customWidth="1"/>
    <col min="15884" max="15884" width="8.28515625" style="3" customWidth="1"/>
    <col min="15885" max="15887" width="7.7109375" style="3" customWidth="1"/>
    <col min="15888" max="16129" width="11.42578125" style="3"/>
    <col min="16130" max="16130" width="26.85546875" style="3" customWidth="1"/>
    <col min="16131" max="16139" width="7.7109375" style="3" customWidth="1"/>
    <col min="16140" max="16140" width="8.28515625" style="3" customWidth="1"/>
    <col min="16141" max="16143" width="7.7109375" style="3" customWidth="1"/>
    <col min="16144" max="16384" width="11.42578125" style="3"/>
  </cols>
  <sheetData>
    <row r="1" spans="1:24" ht="20.25" customHeight="1" x14ac:dyDescent="0.25">
      <c r="A1" s="247"/>
      <c r="B1" s="248"/>
      <c r="C1" s="249"/>
      <c r="D1" s="243" t="s">
        <v>20</v>
      </c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4"/>
    </row>
    <row r="2" spans="1:24" ht="15.75" customHeight="1" thickBot="1" x14ac:dyDescent="0.3">
      <c r="A2" s="250"/>
      <c r="B2" s="251"/>
      <c r="C2" s="252"/>
      <c r="D2" s="245" t="s">
        <v>67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6"/>
    </row>
    <row r="3" spans="1:24" ht="13.5" customHeight="1" x14ac:dyDescent="0.25">
      <c r="A3" s="253" t="s">
        <v>0</v>
      </c>
      <c r="B3" s="254"/>
      <c r="C3" s="254"/>
      <c r="D3" s="254"/>
      <c r="E3" s="254"/>
      <c r="F3" s="254" t="str">
        <f>'SET SP Nataga'!J3</f>
        <v>GESTIÓN DE SERVICIOS PÚBLICOS - NATAGA</v>
      </c>
      <c r="G3" s="254"/>
      <c r="H3" s="254"/>
      <c r="I3" s="254"/>
      <c r="J3" s="254"/>
      <c r="K3" s="254"/>
      <c r="L3" s="254"/>
      <c r="M3" s="254"/>
      <c r="N3" s="254"/>
      <c r="O3" s="255"/>
    </row>
    <row r="4" spans="1:24" ht="15.75" customHeight="1" x14ac:dyDescent="0.25">
      <c r="A4" s="235" t="s">
        <v>1</v>
      </c>
      <c r="B4" s="236"/>
      <c r="C4" s="236"/>
      <c r="D4" s="236"/>
      <c r="E4" s="236"/>
      <c r="F4" s="256" t="str">
        <f>'SET SP Nataga'!$B16</f>
        <v>Continuidad del servicio (Acueducto)</v>
      </c>
      <c r="G4" s="256"/>
      <c r="H4" s="256"/>
      <c r="I4" s="256"/>
      <c r="J4" s="256"/>
      <c r="K4" s="256"/>
      <c r="L4" s="256"/>
      <c r="M4" s="256"/>
      <c r="N4" s="256"/>
      <c r="O4" s="277"/>
    </row>
    <row r="5" spans="1:24" ht="15.75" customHeight="1" x14ac:dyDescent="0.25">
      <c r="A5" s="235" t="s">
        <v>55</v>
      </c>
      <c r="B5" s="236"/>
      <c r="C5" s="236"/>
      <c r="D5" s="236"/>
      <c r="E5" s="236"/>
      <c r="F5" s="238" t="str">
        <f>'SET SP Nataga'!F16</f>
        <v xml:space="preserve">Eficiencia </v>
      </c>
      <c r="G5" s="239"/>
      <c r="H5" s="239"/>
      <c r="I5" s="239"/>
      <c r="J5" s="239"/>
      <c r="K5" s="239"/>
      <c r="L5" s="239"/>
      <c r="M5" s="239"/>
      <c r="N5" s="239"/>
      <c r="O5" s="240"/>
    </row>
    <row r="6" spans="1:24" ht="17.25" customHeight="1" thickBot="1" x14ac:dyDescent="0.3">
      <c r="A6" s="259" t="s">
        <v>21</v>
      </c>
      <c r="B6" s="260"/>
      <c r="C6" s="260"/>
      <c r="D6" s="260"/>
      <c r="E6" s="260"/>
      <c r="F6" s="26" t="s">
        <v>94</v>
      </c>
      <c r="G6" s="261" t="str">
        <f>'SET SP Nataga'!A16</f>
        <v>IN11</v>
      </c>
      <c r="H6" s="261"/>
      <c r="I6" s="261"/>
      <c r="J6" s="261"/>
      <c r="K6" s="261"/>
      <c r="L6" s="261"/>
      <c r="M6" s="261"/>
      <c r="N6" s="261"/>
      <c r="O6" s="276"/>
    </row>
    <row r="7" spans="1:24" ht="12.75" customHeight="1" x14ac:dyDescent="0.25">
      <c r="A7" s="264" t="s">
        <v>22</v>
      </c>
      <c r="B7" s="265"/>
      <c r="C7" s="265"/>
      <c r="D7" s="265"/>
      <c r="E7" s="230" t="s">
        <v>23</v>
      </c>
      <c r="F7" s="230" t="s">
        <v>24</v>
      </c>
      <c r="G7" s="230"/>
      <c r="H7" s="230" t="s">
        <v>25</v>
      </c>
      <c r="I7" s="230" t="s">
        <v>26</v>
      </c>
      <c r="J7" s="230" t="s">
        <v>27</v>
      </c>
      <c r="K7" s="230"/>
      <c r="L7" s="232" t="s">
        <v>28</v>
      </c>
      <c r="M7" s="232"/>
      <c r="N7" s="232"/>
      <c r="O7" s="233"/>
    </row>
    <row r="8" spans="1:24" ht="46.5" customHeight="1" x14ac:dyDescent="0.25">
      <c r="A8" s="266"/>
      <c r="B8" s="234"/>
      <c r="C8" s="234"/>
      <c r="D8" s="234"/>
      <c r="E8" s="231"/>
      <c r="F8" s="231"/>
      <c r="G8" s="231"/>
      <c r="H8" s="231"/>
      <c r="I8" s="231"/>
      <c r="J8" s="231"/>
      <c r="K8" s="231"/>
      <c r="L8" s="234" t="s">
        <v>29</v>
      </c>
      <c r="M8" s="234"/>
      <c r="N8" s="234" t="s">
        <v>30</v>
      </c>
      <c r="O8" s="237"/>
    </row>
    <row r="9" spans="1:24" ht="38.25" customHeight="1" thickBot="1" x14ac:dyDescent="0.3">
      <c r="A9" s="206" t="str">
        <f>'SET SP Nataga'!$C16</f>
        <v>Prestar el servico de acueducto en forma continua las 24 horas.</v>
      </c>
      <c r="B9" s="207"/>
      <c r="C9" s="207"/>
      <c r="D9" s="207"/>
      <c r="E9" s="17" t="s">
        <v>35</v>
      </c>
      <c r="F9" s="288" t="str">
        <f>'SET SP Nataga'!$D16</f>
        <v>(720 - Horas sin servicio mensuales) / 720) * 100</v>
      </c>
      <c r="G9" s="290"/>
      <c r="H9" s="14">
        <f>$O16</f>
        <v>0</v>
      </c>
      <c r="I9" s="36" t="str">
        <f>'SET SP Nataga'!$E16</f>
        <v>Trimestral</v>
      </c>
      <c r="J9" s="208" t="s">
        <v>89</v>
      </c>
      <c r="K9" s="209"/>
      <c r="L9" s="209"/>
      <c r="M9" s="209"/>
      <c r="N9" s="209"/>
      <c r="O9" s="210"/>
    </row>
    <row r="10" spans="1:24" ht="13.5" customHeight="1" x14ac:dyDescent="0.25">
      <c r="A10" s="216" t="s">
        <v>38</v>
      </c>
      <c r="B10" s="217"/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8"/>
    </row>
    <row r="11" spans="1:24" ht="21.75" customHeight="1" thickBot="1" x14ac:dyDescent="0.3">
      <c r="A11" s="219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1"/>
    </row>
    <row r="12" spans="1:24" ht="15" customHeight="1" thickBot="1" x14ac:dyDescent="0.3">
      <c r="A12" s="222" t="s">
        <v>31</v>
      </c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4"/>
      <c r="V12" s="9"/>
      <c r="W12" s="37"/>
      <c r="X12" s="37"/>
    </row>
    <row r="13" spans="1:24" ht="16.5" customHeight="1" x14ac:dyDescent="0.25">
      <c r="A13" s="225" t="s">
        <v>273</v>
      </c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7"/>
      <c r="V13" s="9"/>
      <c r="W13" s="10"/>
      <c r="X13" s="10"/>
    </row>
    <row r="14" spans="1:24" ht="16.5" customHeight="1" x14ac:dyDescent="0.25">
      <c r="A14" s="228" t="s">
        <v>32</v>
      </c>
      <c r="B14" s="229"/>
      <c r="C14" s="135" t="s">
        <v>8</v>
      </c>
      <c r="D14" s="135" t="s">
        <v>9</v>
      </c>
      <c r="E14" s="135" t="s">
        <v>10</v>
      </c>
      <c r="F14" s="135" t="s">
        <v>11</v>
      </c>
      <c r="G14" s="135" t="s">
        <v>12</v>
      </c>
      <c r="H14" s="135" t="s">
        <v>13</v>
      </c>
      <c r="I14" s="135" t="s">
        <v>14</v>
      </c>
      <c r="J14" s="135" t="s">
        <v>15</v>
      </c>
      <c r="K14" s="135" t="s">
        <v>16</v>
      </c>
      <c r="L14" s="135" t="s">
        <v>17</v>
      </c>
      <c r="M14" s="135" t="s">
        <v>18</v>
      </c>
      <c r="N14" s="135" t="s">
        <v>19</v>
      </c>
      <c r="O14" s="6" t="s">
        <v>33</v>
      </c>
      <c r="V14" s="9"/>
      <c r="W14" s="10"/>
      <c r="X14" s="10"/>
    </row>
    <row r="15" spans="1:24" ht="16.5" customHeight="1" x14ac:dyDescent="0.25">
      <c r="A15" s="183" t="s">
        <v>39</v>
      </c>
      <c r="B15" s="184"/>
      <c r="C15" s="137">
        <f t="shared" ref="C15:N15" si="0">$O$15</f>
        <v>0</v>
      </c>
      <c r="D15" s="137">
        <f t="shared" si="0"/>
        <v>0</v>
      </c>
      <c r="E15" s="137">
        <f t="shared" si="0"/>
        <v>0</v>
      </c>
      <c r="F15" s="137">
        <f t="shared" si="0"/>
        <v>0</v>
      </c>
      <c r="G15" s="137">
        <f t="shared" si="0"/>
        <v>0</v>
      </c>
      <c r="H15" s="137">
        <f t="shared" si="0"/>
        <v>0</v>
      </c>
      <c r="I15" s="137">
        <f t="shared" si="0"/>
        <v>0</v>
      </c>
      <c r="J15" s="137">
        <f t="shared" si="0"/>
        <v>0</v>
      </c>
      <c r="K15" s="137">
        <f t="shared" si="0"/>
        <v>0</v>
      </c>
      <c r="L15" s="137">
        <f t="shared" si="0"/>
        <v>0</v>
      </c>
      <c r="M15" s="137">
        <f t="shared" si="0"/>
        <v>0</v>
      </c>
      <c r="N15" s="137">
        <f t="shared" si="0"/>
        <v>0</v>
      </c>
      <c r="O15" s="145">
        <f>'SET SP Nataga'!J16</f>
        <v>0</v>
      </c>
      <c r="V15" s="9"/>
      <c r="W15" s="10"/>
      <c r="X15" s="10"/>
    </row>
    <row r="16" spans="1:24" ht="17.25" customHeight="1" x14ac:dyDescent="0.25">
      <c r="A16" s="183" t="s">
        <v>272</v>
      </c>
      <c r="B16" s="184"/>
      <c r="C16" s="137">
        <f t="shared" ref="C16:N16" si="1">$O$16</f>
        <v>0</v>
      </c>
      <c r="D16" s="137">
        <f t="shared" si="1"/>
        <v>0</v>
      </c>
      <c r="E16" s="137">
        <f t="shared" si="1"/>
        <v>0</v>
      </c>
      <c r="F16" s="137">
        <f t="shared" si="1"/>
        <v>0</v>
      </c>
      <c r="G16" s="137">
        <f t="shared" si="1"/>
        <v>0</v>
      </c>
      <c r="H16" s="137">
        <f t="shared" si="1"/>
        <v>0</v>
      </c>
      <c r="I16" s="137">
        <f t="shared" si="1"/>
        <v>0</v>
      </c>
      <c r="J16" s="137">
        <f t="shared" si="1"/>
        <v>0</v>
      </c>
      <c r="K16" s="137">
        <f t="shared" si="1"/>
        <v>0</v>
      </c>
      <c r="L16" s="137">
        <f t="shared" si="1"/>
        <v>0</v>
      </c>
      <c r="M16" s="137">
        <f t="shared" si="1"/>
        <v>0</v>
      </c>
      <c r="N16" s="137">
        <f t="shared" si="1"/>
        <v>0</v>
      </c>
      <c r="O16" s="145">
        <f>'SET SP Nataga'!K16</f>
        <v>0</v>
      </c>
      <c r="V16" s="9"/>
      <c r="W16" s="10"/>
      <c r="X16" s="10"/>
    </row>
    <row r="17" spans="1:24" ht="17.25" customHeight="1" x14ac:dyDescent="0.25">
      <c r="A17" s="187" t="s">
        <v>263</v>
      </c>
      <c r="B17" s="188"/>
      <c r="C17" s="12" t="str">
        <f>IF(ISNUMBER(C18),(720-C18)/720,"-")</f>
        <v>-</v>
      </c>
      <c r="D17" s="12" t="str">
        <f t="shared" ref="D17:N17" si="2">IF(ISNUMBER(D18),(720-D18)/720,"-")</f>
        <v>-</v>
      </c>
      <c r="E17" s="12" t="str">
        <f t="shared" si="2"/>
        <v>-</v>
      </c>
      <c r="F17" s="12" t="str">
        <f t="shared" si="2"/>
        <v>-</v>
      </c>
      <c r="G17" s="12" t="str">
        <f t="shared" si="2"/>
        <v>-</v>
      </c>
      <c r="H17" s="12" t="str">
        <f t="shared" si="2"/>
        <v>-</v>
      </c>
      <c r="I17" s="12" t="str">
        <f t="shared" si="2"/>
        <v>-</v>
      </c>
      <c r="J17" s="12" t="str">
        <f t="shared" si="2"/>
        <v>-</v>
      </c>
      <c r="K17" s="12" t="str">
        <f t="shared" si="2"/>
        <v>-</v>
      </c>
      <c r="L17" s="12" t="str">
        <f t="shared" si="2"/>
        <v>-</v>
      </c>
      <c r="M17" s="12" t="str">
        <f t="shared" si="2"/>
        <v>-</v>
      </c>
      <c r="N17" s="12" t="str">
        <f t="shared" si="2"/>
        <v>-</v>
      </c>
      <c r="O17" s="13" t="str">
        <f>IF(ISNUMBER(O18),(720-O18)/720,"-")</f>
        <v>-</v>
      </c>
      <c r="V17" s="9"/>
      <c r="W17" s="10"/>
      <c r="X17" s="10"/>
    </row>
    <row r="18" spans="1:24" ht="16.5" customHeight="1" x14ac:dyDescent="0.25">
      <c r="A18" s="189" t="s">
        <v>37</v>
      </c>
      <c r="B18" s="39" t="s">
        <v>167</v>
      </c>
      <c r="C18" s="4" t="str">
        <f>+'NATAGA-18'!D39</f>
        <v>*</v>
      </c>
      <c r="D18" s="4" t="str">
        <f>+'NATAGA-18'!E39</f>
        <v>*</v>
      </c>
      <c r="E18" s="4" t="str">
        <f>+'NATAGA-18'!F39</f>
        <v>*</v>
      </c>
      <c r="F18" s="4" t="str">
        <f>+'NATAGA-18'!G39</f>
        <v>*</v>
      </c>
      <c r="G18" s="4" t="str">
        <f>+'NATAGA-18'!H39</f>
        <v>*</v>
      </c>
      <c r="H18" s="4" t="str">
        <f>+'NATAGA-18'!I39</f>
        <v>*</v>
      </c>
      <c r="I18" s="4" t="str">
        <f>+'NATAGA-18'!J39</f>
        <v>*</v>
      </c>
      <c r="J18" s="4" t="str">
        <f>+'NATAGA-18'!K39</f>
        <v>*</v>
      </c>
      <c r="K18" s="4" t="str">
        <f>+'NATAGA-18'!L39</f>
        <v>*</v>
      </c>
      <c r="L18" s="4" t="str">
        <f>+'NATAGA-18'!M39</f>
        <v>*</v>
      </c>
      <c r="M18" s="4" t="str">
        <f>+'NATAGA-18'!N39</f>
        <v>*</v>
      </c>
      <c r="N18" s="4" t="str">
        <f>+'NATAGA-18'!O39</f>
        <v>*</v>
      </c>
      <c r="O18" s="65" t="e">
        <f>AVERAGE(C18:N18)</f>
        <v>#DIV/0!</v>
      </c>
      <c r="V18" s="9"/>
      <c r="W18" s="10"/>
      <c r="X18" s="10"/>
    </row>
    <row r="19" spans="1:24" ht="13.5" customHeight="1" x14ac:dyDescent="0.25">
      <c r="A19" s="189"/>
      <c r="B19" s="134" t="s">
        <v>3</v>
      </c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19"/>
      <c r="V19" s="9"/>
      <c r="W19" s="10"/>
      <c r="X19" s="10"/>
    </row>
    <row r="20" spans="1:24" ht="14.25" customHeight="1" x14ac:dyDescent="0.25">
      <c r="A20" s="189"/>
      <c r="B20" s="13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19"/>
      <c r="V20" s="9"/>
      <c r="W20" s="10"/>
      <c r="X20" s="10"/>
    </row>
    <row r="21" spans="1:24" ht="14.25" customHeight="1" thickBot="1" x14ac:dyDescent="0.3">
      <c r="A21" s="190"/>
      <c r="B21" s="136" t="s">
        <v>3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20"/>
      <c r="V21" s="9"/>
      <c r="W21" s="10"/>
      <c r="X21" s="10"/>
    </row>
    <row r="22" spans="1:24" ht="14.25" customHeight="1" thickBot="1" x14ac:dyDescent="0.3">
      <c r="A22" s="191" t="s">
        <v>34</v>
      </c>
      <c r="B22" s="192"/>
      <c r="C22" s="193"/>
      <c r="D22" s="180" t="str">
        <f>'SET SP Nataga'!$G16</f>
        <v>Entre 80% y 100%</v>
      </c>
      <c r="E22" s="181"/>
      <c r="F22" s="181"/>
      <c r="G22" s="182"/>
      <c r="H22" s="180" t="str">
        <f>'SET SP Nataga'!$H16</f>
        <v>Entre 60% y 79%</v>
      </c>
      <c r="I22" s="181"/>
      <c r="J22" s="181"/>
      <c r="K22" s="182"/>
      <c r="L22" s="180" t="str">
        <f>'SET SP Nataga'!$I16</f>
        <v>Menor al 59%</v>
      </c>
      <c r="M22" s="185"/>
      <c r="N22" s="185"/>
      <c r="O22" s="186"/>
      <c r="V22" s="9"/>
      <c r="W22" s="10"/>
      <c r="X22" s="10"/>
    </row>
    <row r="23" spans="1:24" ht="33" customHeight="1" thickBot="1" x14ac:dyDescent="0.3">
      <c r="A23" s="194"/>
      <c r="B23" s="195"/>
      <c r="C23" s="195"/>
      <c r="D23" s="196" t="s">
        <v>7</v>
      </c>
      <c r="E23" s="196"/>
      <c r="F23" s="196"/>
      <c r="G23" s="196"/>
      <c r="H23" s="197" t="s">
        <v>61</v>
      </c>
      <c r="I23" s="197"/>
      <c r="J23" s="197"/>
      <c r="K23" s="197"/>
      <c r="L23" s="211" t="s">
        <v>62</v>
      </c>
      <c r="M23" s="211"/>
      <c r="N23" s="211"/>
      <c r="O23" s="212"/>
      <c r="V23" s="9"/>
      <c r="W23" s="10"/>
      <c r="X23" s="10"/>
    </row>
    <row r="24" spans="1:24" ht="15.75" customHeight="1" thickBot="1" x14ac:dyDescent="0.3">
      <c r="A24" s="213" t="s">
        <v>36</v>
      </c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5"/>
      <c r="V24" s="9"/>
      <c r="W24" s="10"/>
      <c r="X24" s="10"/>
    </row>
    <row r="25" spans="1:24" ht="264.75" customHeight="1" thickBot="1" x14ac:dyDescent="0.3">
      <c r="A25" s="177"/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9"/>
      <c r="V25" s="9"/>
    </row>
    <row r="26" spans="1:24" ht="15" customHeight="1" x14ac:dyDescent="0.25">
      <c r="A26" s="198" t="s">
        <v>58</v>
      </c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200" t="s">
        <v>60</v>
      </c>
      <c r="O26" s="201"/>
    </row>
    <row r="27" spans="1:24" ht="15" x14ac:dyDescent="0.25">
      <c r="A27" s="202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41">
        <v>43101</v>
      </c>
      <c r="O27" s="242"/>
    </row>
    <row r="28" spans="1:24" ht="15" x14ac:dyDescent="0.25">
      <c r="A28" s="202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41">
        <v>43132</v>
      </c>
      <c r="O28" s="242"/>
    </row>
    <row r="29" spans="1:24" ht="15" x14ac:dyDescent="0.25">
      <c r="A29" s="202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41">
        <v>43160</v>
      </c>
      <c r="O29" s="242"/>
    </row>
    <row r="30" spans="1:24" ht="15" x14ac:dyDescent="0.25">
      <c r="A30" s="202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41">
        <v>43191</v>
      </c>
      <c r="O30" s="242"/>
    </row>
    <row r="31" spans="1:24" ht="15" x14ac:dyDescent="0.25">
      <c r="A31" s="202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41">
        <v>43221</v>
      </c>
      <c r="O31" s="242"/>
    </row>
    <row r="32" spans="1:24" ht="15" customHeight="1" x14ac:dyDescent="0.25">
      <c r="A32" s="202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41">
        <v>43252</v>
      </c>
      <c r="O32" s="242"/>
    </row>
    <row r="33" spans="1:17" ht="15" x14ac:dyDescent="0.25">
      <c r="A33" s="202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41">
        <v>43282</v>
      </c>
      <c r="O33" s="242"/>
    </row>
    <row r="34" spans="1:17" ht="15" x14ac:dyDescent="0.25">
      <c r="A34" s="202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41">
        <v>43313</v>
      </c>
      <c r="O34" s="242"/>
    </row>
    <row r="35" spans="1:17" ht="15" x14ac:dyDescent="0.25">
      <c r="A35" s="202"/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41">
        <v>43344</v>
      </c>
      <c r="O35" s="242"/>
    </row>
    <row r="36" spans="1:17" ht="15" x14ac:dyDescent="0.25">
      <c r="A36" s="202"/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41">
        <v>43374</v>
      </c>
      <c r="O36" s="242"/>
    </row>
    <row r="37" spans="1:17" ht="15" x14ac:dyDescent="0.25">
      <c r="A37" s="202"/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41">
        <v>43405</v>
      </c>
      <c r="O37" s="242"/>
    </row>
    <row r="38" spans="1:17" ht="15.75" thickBot="1" x14ac:dyDescent="0.3">
      <c r="A38" s="202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41">
        <v>43435</v>
      </c>
      <c r="O38" s="242"/>
    </row>
    <row r="39" spans="1:17" ht="19.5" customHeight="1" x14ac:dyDescent="0.25">
      <c r="A39" s="198" t="s">
        <v>59</v>
      </c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200" t="s">
        <v>60</v>
      </c>
      <c r="O39" s="201"/>
    </row>
    <row r="40" spans="1:17" ht="15" x14ac:dyDescent="0.25">
      <c r="A40" s="202"/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4"/>
      <c r="O40" s="205"/>
    </row>
    <row r="41" spans="1:17" ht="15.75" thickBot="1" x14ac:dyDescent="0.3">
      <c r="A41" s="273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04"/>
      <c r="O41" s="205"/>
    </row>
    <row r="42" spans="1:17" ht="5.25" customHeight="1" x14ac:dyDescent="0.25">
      <c r="A42" s="176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</row>
    <row r="44" spans="1:17" ht="14.25" x14ac:dyDescent="0.2">
      <c r="Q44" s="48" t="s">
        <v>81</v>
      </c>
    </row>
    <row r="45" spans="1:17" ht="14.25" x14ac:dyDescent="0.2">
      <c r="Q45" s="48" t="s">
        <v>82</v>
      </c>
    </row>
    <row r="46" spans="1:17" ht="14.25" x14ac:dyDescent="0.2">
      <c r="Q46" s="48" t="s">
        <v>83</v>
      </c>
    </row>
    <row r="47" spans="1:17" ht="14.25" x14ac:dyDescent="0.2">
      <c r="Q47" s="48" t="s">
        <v>84</v>
      </c>
    </row>
    <row r="48" spans="1:17" ht="14.25" x14ac:dyDescent="0.2">
      <c r="Q48" s="48" t="s">
        <v>85</v>
      </c>
    </row>
    <row r="49" spans="17:17" ht="14.25" x14ac:dyDescent="0.2">
      <c r="Q49" s="48" t="s">
        <v>86</v>
      </c>
    </row>
    <row r="50" spans="17:17" ht="14.25" x14ac:dyDescent="0.2">
      <c r="Q50" s="48" t="s">
        <v>87</v>
      </c>
    </row>
    <row r="51" spans="17:17" ht="14.25" x14ac:dyDescent="0.2">
      <c r="Q51" s="48" t="s">
        <v>88</v>
      </c>
    </row>
    <row r="52" spans="17:17" ht="14.25" x14ac:dyDescent="0.2">
      <c r="Q52" s="48" t="s">
        <v>89</v>
      </c>
    </row>
    <row r="53" spans="17:17" ht="14.25" x14ac:dyDescent="0.2">
      <c r="Q53" s="48" t="s">
        <v>90</v>
      </c>
    </row>
    <row r="54" spans="17:17" ht="14.25" x14ac:dyDescent="0.2">
      <c r="Q54" s="48" t="s">
        <v>91</v>
      </c>
    </row>
    <row r="55" spans="17:17" ht="14.25" x14ac:dyDescent="0.2">
      <c r="Q55" s="48" t="s">
        <v>92</v>
      </c>
    </row>
    <row r="56" spans="17:17" ht="14.25" x14ac:dyDescent="0.2">
      <c r="Q56" s="48" t="s">
        <v>93</v>
      </c>
    </row>
    <row r="58" spans="17:17" x14ac:dyDescent="0.25">
      <c r="Q58" s="11">
        <v>0.9</v>
      </c>
    </row>
    <row r="59" spans="17:17" x14ac:dyDescent="0.25">
      <c r="Q59" s="11">
        <v>0.95</v>
      </c>
    </row>
  </sheetData>
  <sheetProtection algorithmName="SHA-512" hashValue="Sa/yUVpJQsW1okZkYPVBpG5MXbG9G8lwcJ5lfgNm2t3sRskndY4MbxaT5Gs1yNhl0MF9yQCJX+4v3Zc1SKp2qQ==" saltValue="xoGsvPM4UXJTvFRRH7fRrA==" spinCount="100000" sheet="1" objects="1" scenarios="1"/>
  <mergeCells count="74">
    <mergeCell ref="N29:O29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A34:M34"/>
    <mergeCell ref="A35:M35"/>
    <mergeCell ref="A36:M36"/>
    <mergeCell ref="A37:M37"/>
    <mergeCell ref="A38:M38"/>
    <mergeCell ref="A29:M29"/>
    <mergeCell ref="A30:M30"/>
    <mergeCell ref="A31:M31"/>
    <mergeCell ref="A32:M32"/>
    <mergeCell ref="A33:M33"/>
    <mergeCell ref="A42:O42"/>
    <mergeCell ref="A39:M39"/>
    <mergeCell ref="N39:O39"/>
    <mergeCell ref="A40:M40"/>
    <mergeCell ref="N40:O40"/>
    <mergeCell ref="A41:M41"/>
    <mergeCell ref="N41:O41"/>
    <mergeCell ref="A26:M26"/>
    <mergeCell ref="N26:O26"/>
    <mergeCell ref="A27:M27"/>
    <mergeCell ref="N27:O27"/>
    <mergeCell ref="A28:M28"/>
    <mergeCell ref="N28:O28"/>
    <mergeCell ref="A25:O25"/>
    <mergeCell ref="A16:B16"/>
    <mergeCell ref="A17:B17"/>
    <mergeCell ref="A18:A21"/>
    <mergeCell ref="A22:C23"/>
    <mergeCell ref="D22:G22"/>
    <mergeCell ref="H22:K22"/>
    <mergeCell ref="L22:O22"/>
    <mergeCell ref="D23:G23"/>
    <mergeCell ref="H23:K23"/>
    <mergeCell ref="L23:O23"/>
    <mergeCell ref="A24:O24"/>
    <mergeCell ref="A15:B15"/>
    <mergeCell ref="L7:O7"/>
    <mergeCell ref="L8:M8"/>
    <mergeCell ref="N8:O8"/>
    <mergeCell ref="A9:D9"/>
    <mergeCell ref="F9:G9"/>
    <mergeCell ref="J9:O9"/>
    <mergeCell ref="A10:O10"/>
    <mergeCell ref="A11:O11"/>
    <mergeCell ref="A12:O12"/>
    <mergeCell ref="A13:O13"/>
    <mergeCell ref="A14:B14"/>
    <mergeCell ref="A5:E5"/>
    <mergeCell ref="F5:O5"/>
    <mergeCell ref="A6:E6"/>
    <mergeCell ref="G6:O6"/>
    <mergeCell ref="A7:D8"/>
    <mergeCell ref="E7:E8"/>
    <mergeCell ref="F7:G8"/>
    <mergeCell ref="H7:H8"/>
    <mergeCell ref="I7:I8"/>
    <mergeCell ref="J7:K8"/>
    <mergeCell ref="A4:E4"/>
    <mergeCell ref="F4:O4"/>
    <mergeCell ref="A1:C2"/>
    <mergeCell ref="D1:O1"/>
    <mergeCell ref="D2:O2"/>
    <mergeCell ref="A3:E3"/>
    <mergeCell ref="F3:O3"/>
  </mergeCells>
  <dataValidations count="1">
    <dataValidation type="list" allowBlank="1" showInputMessage="1" showErrorMessage="1" sqref="J9:O9">
      <formula1>$Q$44:$Q$56</formula1>
    </dataValidation>
  </dataValidations>
  <pageMargins left="0.39370078740157483" right="0.39370078740157483" top="0.35433070866141736" bottom="0.35433070866141736" header="0" footer="0"/>
  <pageSetup scale="73" orientation="portrait" horizontalDpi="4294967294" verticalDpi="4294967294" r:id="rId1"/>
  <headerFooter alignWithMargins="0">
    <oddFooter>&amp;R&amp;8Diseñado por: Wilson Andrade González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59"/>
  <sheetViews>
    <sheetView windowProtection="1" topLeftCell="A8" zoomScaleSheetLayoutView="72" workbookViewId="0">
      <selection activeCell="A16" sqref="A16:B16"/>
    </sheetView>
  </sheetViews>
  <sheetFormatPr baseColWidth="10" defaultRowHeight="12.75" x14ac:dyDescent="0.25"/>
  <cols>
    <col min="1" max="1" width="3.85546875" style="3" customWidth="1"/>
    <col min="2" max="2" width="26.85546875" style="3" customWidth="1"/>
    <col min="3" max="11" width="7.7109375" style="3" customWidth="1"/>
    <col min="12" max="12" width="8.28515625" style="3" customWidth="1"/>
    <col min="13" max="15" width="7.7109375" style="3" customWidth="1"/>
    <col min="16" max="16" width="6.140625" style="3" customWidth="1"/>
    <col min="17" max="18" width="6.140625" style="3" hidden="1" customWidth="1"/>
    <col min="19" max="19" width="6.140625" style="3" customWidth="1"/>
    <col min="20" max="20" width="11.42578125" style="3" customWidth="1"/>
    <col min="21" max="21" width="9" style="3" customWidth="1"/>
    <col min="22" max="22" width="5.7109375" style="3" customWidth="1"/>
    <col min="23" max="23" width="10.42578125" style="3" customWidth="1"/>
    <col min="24" max="24" width="10" style="3" customWidth="1"/>
    <col min="25" max="257" width="11.42578125" style="3"/>
    <col min="258" max="258" width="26.85546875" style="3" customWidth="1"/>
    <col min="259" max="267" width="7.7109375" style="3" customWidth="1"/>
    <col min="268" max="268" width="8.28515625" style="3" customWidth="1"/>
    <col min="269" max="271" width="7.7109375" style="3" customWidth="1"/>
    <col min="272" max="513" width="11.42578125" style="3"/>
    <col min="514" max="514" width="26.85546875" style="3" customWidth="1"/>
    <col min="515" max="523" width="7.7109375" style="3" customWidth="1"/>
    <col min="524" max="524" width="8.28515625" style="3" customWidth="1"/>
    <col min="525" max="527" width="7.7109375" style="3" customWidth="1"/>
    <col min="528" max="769" width="11.42578125" style="3"/>
    <col min="770" max="770" width="26.85546875" style="3" customWidth="1"/>
    <col min="771" max="779" width="7.7109375" style="3" customWidth="1"/>
    <col min="780" max="780" width="8.28515625" style="3" customWidth="1"/>
    <col min="781" max="783" width="7.7109375" style="3" customWidth="1"/>
    <col min="784" max="1025" width="11.42578125" style="3"/>
    <col min="1026" max="1026" width="26.85546875" style="3" customWidth="1"/>
    <col min="1027" max="1035" width="7.7109375" style="3" customWidth="1"/>
    <col min="1036" max="1036" width="8.28515625" style="3" customWidth="1"/>
    <col min="1037" max="1039" width="7.7109375" style="3" customWidth="1"/>
    <col min="1040" max="1281" width="11.42578125" style="3"/>
    <col min="1282" max="1282" width="26.85546875" style="3" customWidth="1"/>
    <col min="1283" max="1291" width="7.7109375" style="3" customWidth="1"/>
    <col min="1292" max="1292" width="8.28515625" style="3" customWidth="1"/>
    <col min="1293" max="1295" width="7.7109375" style="3" customWidth="1"/>
    <col min="1296" max="1537" width="11.42578125" style="3"/>
    <col min="1538" max="1538" width="26.85546875" style="3" customWidth="1"/>
    <col min="1539" max="1547" width="7.7109375" style="3" customWidth="1"/>
    <col min="1548" max="1548" width="8.28515625" style="3" customWidth="1"/>
    <col min="1549" max="1551" width="7.7109375" style="3" customWidth="1"/>
    <col min="1552" max="1793" width="11.42578125" style="3"/>
    <col min="1794" max="1794" width="26.85546875" style="3" customWidth="1"/>
    <col min="1795" max="1803" width="7.7109375" style="3" customWidth="1"/>
    <col min="1804" max="1804" width="8.28515625" style="3" customWidth="1"/>
    <col min="1805" max="1807" width="7.7109375" style="3" customWidth="1"/>
    <col min="1808" max="2049" width="11.42578125" style="3"/>
    <col min="2050" max="2050" width="26.85546875" style="3" customWidth="1"/>
    <col min="2051" max="2059" width="7.7109375" style="3" customWidth="1"/>
    <col min="2060" max="2060" width="8.28515625" style="3" customWidth="1"/>
    <col min="2061" max="2063" width="7.7109375" style="3" customWidth="1"/>
    <col min="2064" max="2305" width="11.42578125" style="3"/>
    <col min="2306" max="2306" width="26.85546875" style="3" customWidth="1"/>
    <col min="2307" max="2315" width="7.7109375" style="3" customWidth="1"/>
    <col min="2316" max="2316" width="8.28515625" style="3" customWidth="1"/>
    <col min="2317" max="2319" width="7.7109375" style="3" customWidth="1"/>
    <col min="2320" max="2561" width="11.42578125" style="3"/>
    <col min="2562" max="2562" width="26.85546875" style="3" customWidth="1"/>
    <col min="2563" max="2571" width="7.7109375" style="3" customWidth="1"/>
    <col min="2572" max="2572" width="8.28515625" style="3" customWidth="1"/>
    <col min="2573" max="2575" width="7.7109375" style="3" customWidth="1"/>
    <col min="2576" max="2817" width="11.42578125" style="3"/>
    <col min="2818" max="2818" width="26.85546875" style="3" customWidth="1"/>
    <col min="2819" max="2827" width="7.7109375" style="3" customWidth="1"/>
    <col min="2828" max="2828" width="8.28515625" style="3" customWidth="1"/>
    <col min="2829" max="2831" width="7.7109375" style="3" customWidth="1"/>
    <col min="2832" max="3073" width="11.42578125" style="3"/>
    <col min="3074" max="3074" width="26.85546875" style="3" customWidth="1"/>
    <col min="3075" max="3083" width="7.7109375" style="3" customWidth="1"/>
    <col min="3084" max="3084" width="8.28515625" style="3" customWidth="1"/>
    <col min="3085" max="3087" width="7.7109375" style="3" customWidth="1"/>
    <col min="3088" max="3329" width="11.42578125" style="3"/>
    <col min="3330" max="3330" width="26.85546875" style="3" customWidth="1"/>
    <col min="3331" max="3339" width="7.7109375" style="3" customWidth="1"/>
    <col min="3340" max="3340" width="8.28515625" style="3" customWidth="1"/>
    <col min="3341" max="3343" width="7.7109375" style="3" customWidth="1"/>
    <col min="3344" max="3585" width="11.42578125" style="3"/>
    <col min="3586" max="3586" width="26.85546875" style="3" customWidth="1"/>
    <col min="3587" max="3595" width="7.7109375" style="3" customWidth="1"/>
    <col min="3596" max="3596" width="8.28515625" style="3" customWidth="1"/>
    <col min="3597" max="3599" width="7.7109375" style="3" customWidth="1"/>
    <col min="3600" max="3841" width="11.42578125" style="3"/>
    <col min="3842" max="3842" width="26.85546875" style="3" customWidth="1"/>
    <col min="3843" max="3851" width="7.7109375" style="3" customWidth="1"/>
    <col min="3852" max="3852" width="8.28515625" style="3" customWidth="1"/>
    <col min="3853" max="3855" width="7.7109375" style="3" customWidth="1"/>
    <col min="3856" max="4097" width="11.42578125" style="3"/>
    <col min="4098" max="4098" width="26.85546875" style="3" customWidth="1"/>
    <col min="4099" max="4107" width="7.7109375" style="3" customWidth="1"/>
    <col min="4108" max="4108" width="8.28515625" style="3" customWidth="1"/>
    <col min="4109" max="4111" width="7.7109375" style="3" customWidth="1"/>
    <col min="4112" max="4353" width="11.42578125" style="3"/>
    <col min="4354" max="4354" width="26.85546875" style="3" customWidth="1"/>
    <col min="4355" max="4363" width="7.7109375" style="3" customWidth="1"/>
    <col min="4364" max="4364" width="8.28515625" style="3" customWidth="1"/>
    <col min="4365" max="4367" width="7.7109375" style="3" customWidth="1"/>
    <col min="4368" max="4609" width="11.42578125" style="3"/>
    <col min="4610" max="4610" width="26.85546875" style="3" customWidth="1"/>
    <col min="4611" max="4619" width="7.7109375" style="3" customWidth="1"/>
    <col min="4620" max="4620" width="8.28515625" style="3" customWidth="1"/>
    <col min="4621" max="4623" width="7.7109375" style="3" customWidth="1"/>
    <col min="4624" max="4865" width="11.42578125" style="3"/>
    <col min="4866" max="4866" width="26.85546875" style="3" customWidth="1"/>
    <col min="4867" max="4875" width="7.7109375" style="3" customWidth="1"/>
    <col min="4876" max="4876" width="8.28515625" style="3" customWidth="1"/>
    <col min="4877" max="4879" width="7.7109375" style="3" customWidth="1"/>
    <col min="4880" max="5121" width="11.42578125" style="3"/>
    <col min="5122" max="5122" width="26.85546875" style="3" customWidth="1"/>
    <col min="5123" max="5131" width="7.7109375" style="3" customWidth="1"/>
    <col min="5132" max="5132" width="8.28515625" style="3" customWidth="1"/>
    <col min="5133" max="5135" width="7.7109375" style="3" customWidth="1"/>
    <col min="5136" max="5377" width="11.42578125" style="3"/>
    <col min="5378" max="5378" width="26.85546875" style="3" customWidth="1"/>
    <col min="5379" max="5387" width="7.7109375" style="3" customWidth="1"/>
    <col min="5388" max="5388" width="8.28515625" style="3" customWidth="1"/>
    <col min="5389" max="5391" width="7.7109375" style="3" customWidth="1"/>
    <col min="5392" max="5633" width="11.42578125" style="3"/>
    <col min="5634" max="5634" width="26.85546875" style="3" customWidth="1"/>
    <col min="5635" max="5643" width="7.7109375" style="3" customWidth="1"/>
    <col min="5644" max="5644" width="8.28515625" style="3" customWidth="1"/>
    <col min="5645" max="5647" width="7.7109375" style="3" customWidth="1"/>
    <col min="5648" max="5889" width="11.42578125" style="3"/>
    <col min="5890" max="5890" width="26.85546875" style="3" customWidth="1"/>
    <col min="5891" max="5899" width="7.7109375" style="3" customWidth="1"/>
    <col min="5900" max="5900" width="8.28515625" style="3" customWidth="1"/>
    <col min="5901" max="5903" width="7.7109375" style="3" customWidth="1"/>
    <col min="5904" max="6145" width="11.42578125" style="3"/>
    <col min="6146" max="6146" width="26.85546875" style="3" customWidth="1"/>
    <col min="6147" max="6155" width="7.7109375" style="3" customWidth="1"/>
    <col min="6156" max="6156" width="8.28515625" style="3" customWidth="1"/>
    <col min="6157" max="6159" width="7.7109375" style="3" customWidth="1"/>
    <col min="6160" max="6401" width="11.42578125" style="3"/>
    <col min="6402" max="6402" width="26.85546875" style="3" customWidth="1"/>
    <col min="6403" max="6411" width="7.7109375" style="3" customWidth="1"/>
    <col min="6412" max="6412" width="8.28515625" style="3" customWidth="1"/>
    <col min="6413" max="6415" width="7.7109375" style="3" customWidth="1"/>
    <col min="6416" max="6657" width="11.42578125" style="3"/>
    <col min="6658" max="6658" width="26.85546875" style="3" customWidth="1"/>
    <col min="6659" max="6667" width="7.7109375" style="3" customWidth="1"/>
    <col min="6668" max="6668" width="8.28515625" style="3" customWidth="1"/>
    <col min="6669" max="6671" width="7.7109375" style="3" customWidth="1"/>
    <col min="6672" max="6913" width="11.42578125" style="3"/>
    <col min="6914" max="6914" width="26.85546875" style="3" customWidth="1"/>
    <col min="6915" max="6923" width="7.7109375" style="3" customWidth="1"/>
    <col min="6924" max="6924" width="8.28515625" style="3" customWidth="1"/>
    <col min="6925" max="6927" width="7.7109375" style="3" customWidth="1"/>
    <col min="6928" max="7169" width="11.42578125" style="3"/>
    <col min="7170" max="7170" width="26.85546875" style="3" customWidth="1"/>
    <col min="7171" max="7179" width="7.7109375" style="3" customWidth="1"/>
    <col min="7180" max="7180" width="8.28515625" style="3" customWidth="1"/>
    <col min="7181" max="7183" width="7.7109375" style="3" customWidth="1"/>
    <col min="7184" max="7425" width="11.42578125" style="3"/>
    <col min="7426" max="7426" width="26.85546875" style="3" customWidth="1"/>
    <col min="7427" max="7435" width="7.7109375" style="3" customWidth="1"/>
    <col min="7436" max="7436" width="8.28515625" style="3" customWidth="1"/>
    <col min="7437" max="7439" width="7.7109375" style="3" customWidth="1"/>
    <col min="7440" max="7681" width="11.42578125" style="3"/>
    <col min="7682" max="7682" width="26.85546875" style="3" customWidth="1"/>
    <col min="7683" max="7691" width="7.7109375" style="3" customWidth="1"/>
    <col min="7692" max="7692" width="8.28515625" style="3" customWidth="1"/>
    <col min="7693" max="7695" width="7.7109375" style="3" customWidth="1"/>
    <col min="7696" max="7937" width="11.42578125" style="3"/>
    <col min="7938" max="7938" width="26.85546875" style="3" customWidth="1"/>
    <col min="7939" max="7947" width="7.7109375" style="3" customWidth="1"/>
    <col min="7948" max="7948" width="8.28515625" style="3" customWidth="1"/>
    <col min="7949" max="7951" width="7.7109375" style="3" customWidth="1"/>
    <col min="7952" max="8193" width="11.42578125" style="3"/>
    <col min="8194" max="8194" width="26.85546875" style="3" customWidth="1"/>
    <col min="8195" max="8203" width="7.7109375" style="3" customWidth="1"/>
    <col min="8204" max="8204" width="8.28515625" style="3" customWidth="1"/>
    <col min="8205" max="8207" width="7.7109375" style="3" customWidth="1"/>
    <col min="8208" max="8449" width="11.42578125" style="3"/>
    <col min="8450" max="8450" width="26.85546875" style="3" customWidth="1"/>
    <col min="8451" max="8459" width="7.7109375" style="3" customWidth="1"/>
    <col min="8460" max="8460" width="8.28515625" style="3" customWidth="1"/>
    <col min="8461" max="8463" width="7.7109375" style="3" customWidth="1"/>
    <col min="8464" max="8705" width="11.42578125" style="3"/>
    <col min="8706" max="8706" width="26.85546875" style="3" customWidth="1"/>
    <col min="8707" max="8715" width="7.7109375" style="3" customWidth="1"/>
    <col min="8716" max="8716" width="8.28515625" style="3" customWidth="1"/>
    <col min="8717" max="8719" width="7.7109375" style="3" customWidth="1"/>
    <col min="8720" max="8961" width="11.42578125" style="3"/>
    <col min="8962" max="8962" width="26.85546875" style="3" customWidth="1"/>
    <col min="8963" max="8971" width="7.7109375" style="3" customWidth="1"/>
    <col min="8972" max="8972" width="8.28515625" style="3" customWidth="1"/>
    <col min="8973" max="8975" width="7.7109375" style="3" customWidth="1"/>
    <col min="8976" max="9217" width="11.42578125" style="3"/>
    <col min="9218" max="9218" width="26.85546875" style="3" customWidth="1"/>
    <col min="9219" max="9227" width="7.7109375" style="3" customWidth="1"/>
    <col min="9228" max="9228" width="8.28515625" style="3" customWidth="1"/>
    <col min="9229" max="9231" width="7.7109375" style="3" customWidth="1"/>
    <col min="9232" max="9473" width="11.42578125" style="3"/>
    <col min="9474" max="9474" width="26.85546875" style="3" customWidth="1"/>
    <col min="9475" max="9483" width="7.7109375" style="3" customWidth="1"/>
    <col min="9484" max="9484" width="8.28515625" style="3" customWidth="1"/>
    <col min="9485" max="9487" width="7.7109375" style="3" customWidth="1"/>
    <col min="9488" max="9729" width="11.42578125" style="3"/>
    <col min="9730" max="9730" width="26.85546875" style="3" customWidth="1"/>
    <col min="9731" max="9739" width="7.7109375" style="3" customWidth="1"/>
    <col min="9740" max="9740" width="8.28515625" style="3" customWidth="1"/>
    <col min="9741" max="9743" width="7.7109375" style="3" customWidth="1"/>
    <col min="9744" max="9985" width="11.42578125" style="3"/>
    <col min="9986" max="9986" width="26.85546875" style="3" customWidth="1"/>
    <col min="9987" max="9995" width="7.7109375" style="3" customWidth="1"/>
    <col min="9996" max="9996" width="8.28515625" style="3" customWidth="1"/>
    <col min="9997" max="9999" width="7.7109375" style="3" customWidth="1"/>
    <col min="10000" max="10241" width="11.42578125" style="3"/>
    <col min="10242" max="10242" width="26.85546875" style="3" customWidth="1"/>
    <col min="10243" max="10251" width="7.7109375" style="3" customWidth="1"/>
    <col min="10252" max="10252" width="8.28515625" style="3" customWidth="1"/>
    <col min="10253" max="10255" width="7.7109375" style="3" customWidth="1"/>
    <col min="10256" max="10497" width="11.42578125" style="3"/>
    <col min="10498" max="10498" width="26.85546875" style="3" customWidth="1"/>
    <col min="10499" max="10507" width="7.7109375" style="3" customWidth="1"/>
    <col min="10508" max="10508" width="8.28515625" style="3" customWidth="1"/>
    <col min="10509" max="10511" width="7.7109375" style="3" customWidth="1"/>
    <col min="10512" max="10753" width="11.42578125" style="3"/>
    <col min="10754" max="10754" width="26.85546875" style="3" customWidth="1"/>
    <col min="10755" max="10763" width="7.7109375" style="3" customWidth="1"/>
    <col min="10764" max="10764" width="8.28515625" style="3" customWidth="1"/>
    <col min="10765" max="10767" width="7.7109375" style="3" customWidth="1"/>
    <col min="10768" max="11009" width="11.42578125" style="3"/>
    <col min="11010" max="11010" width="26.85546875" style="3" customWidth="1"/>
    <col min="11011" max="11019" width="7.7109375" style="3" customWidth="1"/>
    <col min="11020" max="11020" width="8.28515625" style="3" customWidth="1"/>
    <col min="11021" max="11023" width="7.7109375" style="3" customWidth="1"/>
    <col min="11024" max="11265" width="11.42578125" style="3"/>
    <col min="11266" max="11266" width="26.85546875" style="3" customWidth="1"/>
    <col min="11267" max="11275" width="7.7109375" style="3" customWidth="1"/>
    <col min="11276" max="11276" width="8.28515625" style="3" customWidth="1"/>
    <col min="11277" max="11279" width="7.7109375" style="3" customWidth="1"/>
    <col min="11280" max="11521" width="11.42578125" style="3"/>
    <col min="11522" max="11522" width="26.85546875" style="3" customWidth="1"/>
    <col min="11523" max="11531" width="7.7109375" style="3" customWidth="1"/>
    <col min="11532" max="11532" width="8.28515625" style="3" customWidth="1"/>
    <col min="11533" max="11535" width="7.7109375" style="3" customWidth="1"/>
    <col min="11536" max="11777" width="11.42578125" style="3"/>
    <col min="11778" max="11778" width="26.85546875" style="3" customWidth="1"/>
    <col min="11779" max="11787" width="7.7109375" style="3" customWidth="1"/>
    <col min="11788" max="11788" width="8.28515625" style="3" customWidth="1"/>
    <col min="11789" max="11791" width="7.7109375" style="3" customWidth="1"/>
    <col min="11792" max="12033" width="11.42578125" style="3"/>
    <col min="12034" max="12034" width="26.85546875" style="3" customWidth="1"/>
    <col min="12035" max="12043" width="7.7109375" style="3" customWidth="1"/>
    <col min="12044" max="12044" width="8.28515625" style="3" customWidth="1"/>
    <col min="12045" max="12047" width="7.7109375" style="3" customWidth="1"/>
    <col min="12048" max="12289" width="11.42578125" style="3"/>
    <col min="12290" max="12290" width="26.85546875" style="3" customWidth="1"/>
    <col min="12291" max="12299" width="7.7109375" style="3" customWidth="1"/>
    <col min="12300" max="12300" width="8.28515625" style="3" customWidth="1"/>
    <col min="12301" max="12303" width="7.7109375" style="3" customWidth="1"/>
    <col min="12304" max="12545" width="11.42578125" style="3"/>
    <col min="12546" max="12546" width="26.85546875" style="3" customWidth="1"/>
    <col min="12547" max="12555" width="7.7109375" style="3" customWidth="1"/>
    <col min="12556" max="12556" width="8.28515625" style="3" customWidth="1"/>
    <col min="12557" max="12559" width="7.7109375" style="3" customWidth="1"/>
    <col min="12560" max="12801" width="11.42578125" style="3"/>
    <col min="12802" max="12802" width="26.85546875" style="3" customWidth="1"/>
    <col min="12803" max="12811" width="7.7109375" style="3" customWidth="1"/>
    <col min="12812" max="12812" width="8.28515625" style="3" customWidth="1"/>
    <col min="12813" max="12815" width="7.7109375" style="3" customWidth="1"/>
    <col min="12816" max="13057" width="11.42578125" style="3"/>
    <col min="13058" max="13058" width="26.85546875" style="3" customWidth="1"/>
    <col min="13059" max="13067" width="7.7109375" style="3" customWidth="1"/>
    <col min="13068" max="13068" width="8.28515625" style="3" customWidth="1"/>
    <col min="13069" max="13071" width="7.7109375" style="3" customWidth="1"/>
    <col min="13072" max="13313" width="11.42578125" style="3"/>
    <col min="13314" max="13314" width="26.85546875" style="3" customWidth="1"/>
    <col min="13315" max="13323" width="7.7109375" style="3" customWidth="1"/>
    <col min="13324" max="13324" width="8.28515625" style="3" customWidth="1"/>
    <col min="13325" max="13327" width="7.7109375" style="3" customWidth="1"/>
    <col min="13328" max="13569" width="11.42578125" style="3"/>
    <col min="13570" max="13570" width="26.85546875" style="3" customWidth="1"/>
    <col min="13571" max="13579" width="7.7109375" style="3" customWidth="1"/>
    <col min="13580" max="13580" width="8.28515625" style="3" customWidth="1"/>
    <col min="13581" max="13583" width="7.7109375" style="3" customWidth="1"/>
    <col min="13584" max="13825" width="11.42578125" style="3"/>
    <col min="13826" max="13826" width="26.85546875" style="3" customWidth="1"/>
    <col min="13827" max="13835" width="7.7109375" style="3" customWidth="1"/>
    <col min="13836" max="13836" width="8.28515625" style="3" customWidth="1"/>
    <col min="13837" max="13839" width="7.7109375" style="3" customWidth="1"/>
    <col min="13840" max="14081" width="11.42578125" style="3"/>
    <col min="14082" max="14082" width="26.85546875" style="3" customWidth="1"/>
    <col min="14083" max="14091" width="7.7109375" style="3" customWidth="1"/>
    <col min="14092" max="14092" width="8.28515625" style="3" customWidth="1"/>
    <col min="14093" max="14095" width="7.7109375" style="3" customWidth="1"/>
    <col min="14096" max="14337" width="11.42578125" style="3"/>
    <col min="14338" max="14338" width="26.85546875" style="3" customWidth="1"/>
    <col min="14339" max="14347" width="7.7109375" style="3" customWidth="1"/>
    <col min="14348" max="14348" width="8.28515625" style="3" customWidth="1"/>
    <col min="14349" max="14351" width="7.7109375" style="3" customWidth="1"/>
    <col min="14352" max="14593" width="11.42578125" style="3"/>
    <col min="14594" max="14594" width="26.85546875" style="3" customWidth="1"/>
    <col min="14595" max="14603" width="7.7109375" style="3" customWidth="1"/>
    <col min="14604" max="14604" width="8.28515625" style="3" customWidth="1"/>
    <col min="14605" max="14607" width="7.7109375" style="3" customWidth="1"/>
    <col min="14608" max="14849" width="11.42578125" style="3"/>
    <col min="14850" max="14850" width="26.85546875" style="3" customWidth="1"/>
    <col min="14851" max="14859" width="7.7109375" style="3" customWidth="1"/>
    <col min="14860" max="14860" width="8.28515625" style="3" customWidth="1"/>
    <col min="14861" max="14863" width="7.7109375" style="3" customWidth="1"/>
    <col min="14864" max="15105" width="11.42578125" style="3"/>
    <col min="15106" max="15106" width="26.85546875" style="3" customWidth="1"/>
    <col min="15107" max="15115" width="7.7109375" style="3" customWidth="1"/>
    <col min="15116" max="15116" width="8.28515625" style="3" customWidth="1"/>
    <col min="15117" max="15119" width="7.7109375" style="3" customWidth="1"/>
    <col min="15120" max="15361" width="11.42578125" style="3"/>
    <col min="15362" max="15362" width="26.85546875" style="3" customWidth="1"/>
    <col min="15363" max="15371" width="7.7109375" style="3" customWidth="1"/>
    <col min="15372" max="15372" width="8.28515625" style="3" customWidth="1"/>
    <col min="15373" max="15375" width="7.7109375" style="3" customWidth="1"/>
    <col min="15376" max="15617" width="11.42578125" style="3"/>
    <col min="15618" max="15618" width="26.85546875" style="3" customWidth="1"/>
    <col min="15619" max="15627" width="7.7109375" style="3" customWidth="1"/>
    <col min="15628" max="15628" width="8.28515625" style="3" customWidth="1"/>
    <col min="15629" max="15631" width="7.7109375" style="3" customWidth="1"/>
    <col min="15632" max="15873" width="11.42578125" style="3"/>
    <col min="15874" max="15874" width="26.85546875" style="3" customWidth="1"/>
    <col min="15875" max="15883" width="7.7109375" style="3" customWidth="1"/>
    <col min="15884" max="15884" width="8.28515625" style="3" customWidth="1"/>
    <col min="15885" max="15887" width="7.7109375" style="3" customWidth="1"/>
    <col min="15888" max="16129" width="11.42578125" style="3"/>
    <col min="16130" max="16130" width="26.85546875" style="3" customWidth="1"/>
    <col min="16131" max="16139" width="7.7109375" style="3" customWidth="1"/>
    <col min="16140" max="16140" width="8.28515625" style="3" customWidth="1"/>
    <col min="16141" max="16143" width="7.7109375" style="3" customWidth="1"/>
    <col min="16144" max="16384" width="11.42578125" style="3"/>
  </cols>
  <sheetData>
    <row r="1" spans="1:24" ht="20.25" customHeight="1" x14ac:dyDescent="0.25">
      <c r="A1" s="247"/>
      <c r="B1" s="248"/>
      <c r="C1" s="249"/>
      <c r="D1" s="243" t="s">
        <v>20</v>
      </c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4"/>
    </row>
    <row r="2" spans="1:24" ht="15.75" customHeight="1" thickBot="1" x14ac:dyDescent="0.3">
      <c r="A2" s="250"/>
      <c r="B2" s="251"/>
      <c r="C2" s="252"/>
      <c r="D2" s="245" t="s">
        <v>67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6"/>
    </row>
    <row r="3" spans="1:24" ht="13.5" customHeight="1" x14ac:dyDescent="0.25">
      <c r="A3" s="253" t="s">
        <v>0</v>
      </c>
      <c r="B3" s="254"/>
      <c r="C3" s="254"/>
      <c r="D3" s="254"/>
      <c r="E3" s="254"/>
      <c r="F3" s="254" t="str">
        <f>'SET SP Nataga'!J3</f>
        <v>GESTIÓN DE SERVICIOS PÚBLICOS - NATAGA</v>
      </c>
      <c r="G3" s="254"/>
      <c r="H3" s="254"/>
      <c r="I3" s="254"/>
      <c r="J3" s="254"/>
      <c r="K3" s="254"/>
      <c r="L3" s="254"/>
      <c r="M3" s="254"/>
      <c r="N3" s="254"/>
      <c r="O3" s="255"/>
    </row>
    <row r="4" spans="1:24" ht="15.75" customHeight="1" x14ac:dyDescent="0.25">
      <c r="A4" s="235" t="s">
        <v>1</v>
      </c>
      <c r="B4" s="236"/>
      <c r="C4" s="236"/>
      <c r="D4" s="236"/>
      <c r="E4" s="236"/>
      <c r="F4" s="256" t="str">
        <f>'SET SP Nataga'!$B17</f>
        <v>Continuidad del Servicio (Aseo)</v>
      </c>
      <c r="G4" s="256"/>
      <c r="H4" s="256"/>
      <c r="I4" s="256"/>
      <c r="J4" s="256"/>
      <c r="K4" s="256"/>
      <c r="L4" s="256"/>
      <c r="M4" s="256"/>
      <c r="N4" s="256"/>
      <c r="O4" s="277"/>
    </row>
    <row r="5" spans="1:24" ht="15.75" customHeight="1" x14ac:dyDescent="0.25">
      <c r="A5" s="235" t="s">
        <v>55</v>
      </c>
      <c r="B5" s="236"/>
      <c r="C5" s="236"/>
      <c r="D5" s="236"/>
      <c r="E5" s="236"/>
      <c r="F5" s="238" t="str">
        <f>'SET SP Nataga'!F17</f>
        <v xml:space="preserve">Eficiencia </v>
      </c>
      <c r="G5" s="239"/>
      <c r="H5" s="239"/>
      <c r="I5" s="239"/>
      <c r="J5" s="239"/>
      <c r="K5" s="239"/>
      <c r="L5" s="239"/>
      <c r="M5" s="239"/>
      <c r="N5" s="239"/>
      <c r="O5" s="240"/>
    </row>
    <row r="6" spans="1:24" ht="17.25" customHeight="1" thickBot="1" x14ac:dyDescent="0.3">
      <c r="A6" s="259" t="s">
        <v>21</v>
      </c>
      <c r="B6" s="260"/>
      <c r="C6" s="260"/>
      <c r="D6" s="260"/>
      <c r="E6" s="260"/>
      <c r="F6" s="26" t="s">
        <v>94</v>
      </c>
      <c r="G6" s="261" t="str">
        <f>'SET SP Nataga'!A17</f>
        <v>IN12</v>
      </c>
      <c r="H6" s="261"/>
      <c r="I6" s="261"/>
      <c r="J6" s="261"/>
      <c r="K6" s="261"/>
      <c r="L6" s="261"/>
      <c r="M6" s="261"/>
      <c r="N6" s="261"/>
      <c r="O6" s="276"/>
    </row>
    <row r="7" spans="1:24" ht="12.75" customHeight="1" x14ac:dyDescent="0.25">
      <c r="A7" s="264" t="s">
        <v>22</v>
      </c>
      <c r="B7" s="265"/>
      <c r="C7" s="265"/>
      <c r="D7" s="265"/>
      <c r="E7" s="230" t="s">
        <v>23</v>
      </c>
      <c r="F7" s="230" t="s">
        <v>24</v>
      </c>
      <c r="G7" s="230"/>
      <c r="H7" s="230" t="s">
        <v>25</v>
      </c>
      <c r="I7" s="230" t="s">
        <v>26</v>
      </c>
      <c r="J7" s="230" t="s">
        <v>27</v>
      </c>
      <c r="K7" s="230"/>
      <c r="L7" s="232" t="s">
        <v>28</v>
      </c>
      <c r="M7" s="232"/>
      <c r="N7" s="232"/>
      <c r="O7" s="233"/>
    </row>
    <row r="8" spans="1:24" ht="46.5" customHeight="1" x14ac:dyDescent="0.25">
      <c r="A8" s="266"/>
      <c r="B8" s="234"/>
      <c r="C8" s="234"/>
      <c r="D8" s="234"/>
      <c r="E8" s="231"/>
      <c r="F8" s="231"/>
      <c r="G8" s="231"/>
      <c r="H8" s="231"/>
      <c r="I8" s="231"/>
      <c r="J8" s="231"/>
      <c r="K8" s="231"/>
      <c r="L8" s="234" t="s">
        <v>29</v>
      </c>
      <c r="M8" s="234"/>
      <c r="N8" s="234" t="s">
        <v>30</v>
      </c>
      <c r="O8" s="237"/>
    </row>
    <row r="9" spans="1:24" ht="47.25" customHeight="1" thickBot="1" x14ac:dyDescent="0.3">
      <c r="A9" s="206" t="str">
        <f>'SET SP Nataga'!$C17</f>
        <v>Recolectar los residuos solidos en los dias y rutas establecidas en el PEGIRS.</v>
      </c>
      <c r="B9" s="207"/>
      <c r="C9" s="207"/>
      <c r="D9" s="207"/>
      <c r="E9" s="17" t="s">
        <v>35</v>
      </c>
      <c r="F9" s="288" t="str">
        <f>'SET SP Nataga'!$D17</f>
        <v>Número de dias de recolección de residuos sólidos por semestre / 144</v>
      </c>
      <c r="G9" s="290"/>
      <c r="H9" s="14">
        <f>$O16</f>
        <v>0</v>
      </c>
      <c r="I9" s="36" t="str">
        <f>'SET SP Nataga'!$E17</f>
        <v>Semestral</v>
      </c>
      <c r="J9" s="208" t="s">
        <v>89</v>
      </c>
      <c r="K9" s="209"/>
      <c r="L9" s="209"/>
      <c r="M9" s="209"/>
      <c r="N9" s="209"/>
      <c r="O9" s="210"/>
    </row>
    <row r="10" spans="1:24" ht="13.5" customHeight="1" x14ac:dyDescent="0.25">
      <c r="A10" s="216" t="s">
        <v>38</v>
      </c>
      <c r="B10" s="217"/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8"/>
    </row>
    <row r="11" spans="1:24" ht="21.75" customHeight="1" thickBot="1" x14ac:dyDescent="0.3">
      <c r="A11" s="219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1"/>
    </row>
    <row r="12" spans="1:24" ht="15" customHeight="1" thickBot="1" x14ac:dyDescent="0.3">
      <c r="A12" s="281" t="s">
        <v>31</v>
      </c>
      <c r="B12" s="282"/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3"/>
      <c r="V12" s="9"/>
      <c r="W12" s="37"/>
      <c r="X12" s="37"/>
    </row>
    <row r="13" spans="1:24" ht="16.5" customHeight="1" x14ac:dyDescent="0.25">
      <c r="A13" s="225" t="s">
        <v>273</v>
      </c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7"/>
      <c r="V13" s="9"/>
      <c r="W13" s="10"/>
      <c r="X13" s="10"/>
    </row>
    <row r="14" spans="1:24" ht="16.5" customHeight="1" x14ac:dyDescent="0.25">
      <c r="A14" s="228" t="s">
        <v>32</v>
      </c>
      <c r="B14" s="229"/>
      <c r="C14" s="135" t="s">
        <v>8</v>
      </c>
      <c r="D14" s="135" t="s">
        <v>9</v>
      </c>
      <c r="E14" s="135" t="s">
        <v>10</v>
      </c>
      <c r="F14" s="135" t="s">
        <v>11</v>
      </c>
      <c r="G14" s="135" t="s">
        <v>12</v>
      </c>
      <c r="H14" s="135" t="s">
        <v>13</v>
      </c>
      <c r="I14" s="135" t="s">
        <v>14</v>
      </c>
      <c r="J14" s="135" t="s">
        <v>15</v>
      </c>
      <c r="K14" s="135" t="s">
        <v>16</v>
      </c>
      <c r="L14" s="135" t="s">
        <v>17</v>
      </c>
      <c r="M14" s="135" t="s">
        <v>18</v>
      </c>
      <c r="N14" s="135" t="s">
        <v>19</v>
      </c>
      <c r="O14" s="6" t="s">
        <v>33</v>
      </c>
      <c r="V14" s="9"/>
      <c r="W14" s="10"/>
      <c r="X14" s="10"/>
    </row>
    <row r="15" spans="1:24" ht="16.5" customHeight="1" x14ac:dyDescent="0.25">
      <c r="A15" s="183" t="s">
        <v>39</v>
      </c>
      <c r="B15" s="184"/>
      <c r="C15" s="137">
        <f t="shared" ref="C15:N15" si="0">$O$15</f>
        <v>0</v>
      </c>
      <c r="D15" s="137">
        <f t="shared" si="0"/>
        <v>0</v>
      </c>
      <c r="E15" s="137">
        <f t="shared" si="0"/>
        <v>0</v>
      </c>
      <c r="F15" s="137">
        <f t="shared" si="0"/>
        <v>0</v>
      </c>
      <c r="G15" s="137">
        <f t="shared" si="0"/>
        <v>0</v>
      </c>
      <c r="H15" s="137">
        <f t="shared" si="0"/>
        <v>0</v>
      </c>
      <c r="I15" s="137">
        <f t="shared" si="0"/>
        <v>0</v>
      </c>
      <c r="J15" s="137">
        <f t="shared" si="0"/>
        <v>0</v>
      </c>
      <c r="K15" s="137">
        <f t="shared" si="0"/>
        <v>0</v>
      </c>
      <c r="L15" s="137">
        <f t="shared" si="0"/>
        <v>0</v>
      </c>
      <c r="M15" s="137">
        <f t="shared" si="0"/>
        <v>0</v>
      </c>
      <c r="N15" s="137">
        <f t="shared" si="0"/>
        <v>0</v>
      </c>
      <c r="O15" s="145">
        <f>'SET SP Nataga'!J17</f>
        <v>0</v>
      </c>
      <c r="V15" s="9"/>
      <c r="W15" s="10"/>
      <c r="X15" s="10"/>
    </row>
    <row r="16" spans="1:24" ht="17.25" customHeight="1" x14ac:dyDescent="0.25">
      <c r="A16" s="183" t="s">
        <v>272</v>
      </c>
      <c r="B16" s="184"/>
      <c r="C16" s="137">
        <f t="shared" ref="C16:N16" si="1">$O$16</f>
        <v>0</v>
      </c>
      <c r="D16" s="137">
        <f t="shared" si="1"/>
        <v>0</v>
      </c>
      <c r="E16" s="137">
        <f t="shared" si="1"/>
        <v>0</v>
      </c>
      <c r="F16" s="137">
        <f t="shared" si="1"/>
        <v>0</v>
      </c>
      <c r="G16" s="137">
        <f t="shared" si="1"/>
        <v>0</v>
      </c>
      <c r="H16" s="137">
        <f t="shared" si="1"/>
        <v>0</v>
      </c>
      <c r="I16" s="137">
        <f t="shared" si="1"/>
        <v>0</v>
      </c>
      <c r="J16" s="137">
        <f t="shared" si="1"/>
        <v>0</v>
      </c>
      <c r="K16" s="137">
        <f t="shared" si="1"/>
        <v>0</v>
      </c>
      <c r="L16" s="137">
        <f t="shared" si="1"/>
        <v>0</v>
      </c>
      <c r="M16" s="137">
        <f t="shared" si="1"/>
        <v>0</v>
      </c>
      <c r="N16" s="137">
        <f t="shared" si="1"/>
        <v>0</v>
      </c>
      <c r="O16" s="145">
        <f>'SET SP Nataga'!K17</f>
        <v>0</v>
      </c>
      <c r="V16" s="9"/>
      <c r="W16" s="10"/>
      <c r="X16" s="10"/>
    </row>
    <row r="17" spans="1:24" ht="17.25" customHeight="1" x14ac:dyDescent="0.25">
      <c r="A17" s="187" t="s">
        <v>263</v>
      </c>
      <c r="B17" s="188"/>
      <c r="C17" s="12" t="str">
        <f>IF(ISNUMBER(C18),C18/144,"-")</f>
        <v>-</v>
      </c>
      <c r="D17" s="12" t="str">
        <f t="shared" ref="D17:N17" si="2">IF(ISNUMBER(D18),D18/144,"-")</f>
        <v>-</v>
      </c>
      <c r="E17" s="12" t="str">
        <f t="shared" si="2"/>
        <v>-</v>
      </c>
      <c r="F17" s="12" t="str">
        <f t="shared" si="2"/>
        <v>-</v>
      </c>
      <c r="G17" s="12" t="str">
        <f t="shared" si="2"/>
        <v>-</v>
      </c>
      <c r="H17" s="12" t="str">
        <f>IF(ISNUMBER(H18),H18/48,"-")</f>
        <v>-</v>
      </c>
      <c r="I17" s="12" t="str">
        <f t="shared" si="2"/>
        <v>-</v>
      </c>
      <c r="J17" s="12" t="str">
        <f t="shared" si="2"/>
        <v>-</v>
      </c>
      <c r="K17" s="12" t="str">
        <f t="shared" si="2"/>
        <v>-</v>
      </c>
      <c r="L17" s="12" t="str">
        <f t="shared" si="2"/>
        <v>-</v>
      </c>
      <c r="M17" s="12" t="str">
        <f t="shared" si="2"/>
        <v>-</v>
      </c>
      <c r="N17" s="12" t="str">
        <f t="shared" si="2"/>
        <v>-</v>
      </c>
      <c r="O17" s="13" t="str">
        <f t="shared" ref="O17" si="3">IF((O18),O18/144,"-")</f>
        <v>-</v>
      </c>
      <c r="V17" s="9"/>
      <c r="W17" s="10"/>
      <c r="X17" s="10"/>
    </row>
    <row r="18" spans="1:24" ht="21.75" customHeight="1" x14ac:dyDescent="0.25">
      <c r="A18" s="189" t="s">
        <v>37</v>
      </c>
      <c r="B18" s="39" t="s">
        <v>143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19">
        <f>SUM(C18:N18)</f>
        <v>0</v>
      </c>
      <c r="V18" s="9"/>
      <c r="W18" s="10"/>
      <c r="X18" s="10"/>
    </row>
    <row r="19" spans="1:24" ht="18" customHeight="1" x14ac:dyDescent="0.25">
      <c r="A19" s="189"/>
      <c r="B19" s="3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19"/>
      <c r="V19" s="9"/>
      <c r="W19" s="10"/>
      <c r="X19" s="10"/>
    </row>
    <row r="20" spans="1:24" ht="13.5" customHeight="1" x14ac:dyDescent="0.25">
      <c r="A20" s="189"/>
      <c r="B20" s="13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19"/>
      <c r="V20" s="9"/>
      <c r="W20" s="10"/>
      <c r="X20" s="10"/>
    </row>
    <row r="21" spans="1:24" ht="13.5" customHeight="1" thickBot="1" x14ac:dyDescent="0.3">
      <c r="A21" s="190"/>
      <c r="B21" s="136" t="s">
        <v>3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20"/>
      <c r="V21" s="9"/>
      <c r="W21" s="10"/>
      <c r="X21" s="10"/>
    </row>
    <row r="22" spans="1:24" ht="14.25" customHeight="1" thickBot="1" x14ac:dyDescent="0.3">
      <c r="A22" s="191" t="s">
        <v>34</v>
      </c>
      <c r="B22" s="192"/>
      <c r="C22" s="193"/>
      <c r="D22" s="180" t="str">
        <f>'SET SP Nataga'!$G17</f>
        <v>Entre 91% y 100%</v>
      </c>
      <c r="E22" s="181"/>
      <c r="F22" s="181"/>
      <c r="G22" s="182"/>
      <c r="H22" s="180" t="str">
        <f>'SET SP Nataga'!$H17</f>
        <v>Entre 71% y 90%</v>
      </c>
      <c r="I22" s="181"/>
      <c r="J22" s="181"/>
      <c r="K22" s="182"/>
      <c r="L22" s="180" t="str">
        <f>'SET SP Nataga'!$I17</f>
        <v>Menor al 70%</v>
      </c>
      <c r="M22" s="185"/>
      <c r="N22" s="185"/>
      <c r="O22" s="186"/>
      <c r="V22" s="9"/>
      <c r="W22" s="10"/>
      <c r="X22" s="10"/>
    </row>
    <row r="23" spans="1:24" ht="33" customHeight="1" thickBot="1" x14ac:dyDescent="0.3">
      <c r="A23" s="194"/>
      <c r="B23" s="195"/>
      <c r="C23" s="195"/>
      <c r="D23" s="196" t="s">
        <v>7</v>
      </c>
      <c r="E23" s="196"/>
      <c r="F23" s="196"/>
      <c r="G23" s="196"/>
      <c r="H23" s="197" t="s">
        <v>61</v>
      </c>
      <c r="I23" s="197"/>
      <c r="J23" s="197"/>
      <c r="K23" s="197"/>
      <c r="L23" s="211" t="s">
        <v>62</v>
      </c>
      <c r="M23" s="211"/>
      <c r="N23" s="211"/>
      <c r="O23" s="212"/>
      <c r="V23" s="9"/>
      <c r="W23" s="10"/>
      <c r="X23" s="10"/>
    </row>
    <row r="24" spans="1:24" ht="15.75" customHeight="1" thickBot="1" x14ac:dyDescent="0.3">
      <c r="A24" s="213" t="s">
        <v>36</v>
      </c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5"/>
      <c r="V24" s="9"/>
      <c r="W24" s="10"/>
      <c r="X24" s="10"/>
    </row>
    <row r="25" spans="1:24" ht="264.75" customHeight="1" thickBot="1" x14ac:dyDescent="0.3">
      <c r="A25" s="177"/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9"/>
      <c r="V25" s="9"/>
    </row>
    <row r="26" spans="1:24" ht="15" customHeight="1" x14ac:dyDescent="0.25">
      <c r="A26" s="198" t="s">
        <v>58</v>
      </c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200" t="s">
        <v>60</v>
      </c>
      <c r="O26" s="201"/>
    </row>
    <row r="27" spans="1:24" ht="15" x14ac:dyDescent="0.25">
      <c r="A27" s="202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41">
        <v>43101</v>
      </c>
      <c r="O27" s="242"/>
    </row>
    <row r="28" spans="1:24" ht="15" x14ac:dyDescent="0.25">
      <c r="A28" s="202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41">
        <v>43132</v>
      </c>
      <c r="O28" s="242"/>
    </row>
    <row r="29" spans="1:24" ht="15" x14ac:dyDescent="0.25">
      <c r="A29" s="202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41">
        <v>43160</v>
      </c>
      <c r="O29" s="242"/>
    </row>
    <row r="30" spans="1:24" ht="15" x14ac:dyDescent="0.25">
      <c r="A30" s="202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41">
        <v>43191</v>
      </c>
      <c r="O30" s="242"/>
    </row>
    <row r="31" spans="1:24" ht="15" x14ac:dyDescent="0.25">
      <c r="A31" s="202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41">
        <v>43221</v>
      </c>
      <c r="O31" s="242"/>
    </row>
    <row r="32" spans="1:24" ht="15" x14ac:dyDescent="0.25">
      <c r="A32" s="202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41">
        <v>43252</v>
      </c>
      <c r="O32" s="242"/>
    </row>
    <row r="33" spans="1:17" ht="15" x14ac:dyDescent="0.25">
      <c r="A33" s="202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41">
        <v>43282</v>
      </c>
      <c r="O33" s="242"/>
    </row>
    <row r="34" spans="1:17" ht="15" x14ac:dyDescent="0.25">
      <c r="A34" s="202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41">
        <v>43313</v>
      </c>
      <c r="O34" s="242"/>
    </row>
    <row r="35" spans="1:17" ht="15" x14ac:dyDescent="0.25">
      <c r="A35" s="202"/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41">
        <v>43344</v>
      </c>
      <c r="O35" s="242"/>
    </row>
    <row r="36" spans="1:17" ht="15" x14ac:dyDescent="0.25">
      <c r="A36" s="202"/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41">
        <v>43374</v>
      </c>
      <c r="O36" s="242"/>
    </row>
    <row r="37" spans="1:17" ht="15" x14ac:dyDescent="0.25">
      <c r="A37" s="202"/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41">
        <v>43405</v>
      </c>
      <c r="O37" s="242"/>
    </row>
    <row r="38" spans="1:17" ht="15.75" thickBot="1" x14ac:dyDescent="0.3">
      <c r="A38" s="202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41">
        <v>43435</v>
      </c>
      <c r="O38" s="242"/>
    </row>
    <row r="39" spans="1:17" ht="19.5" customHeight="1" x14ac:dyDescent="0.25">
      <c r="A39" s="198" t="s">
        <v>59</v>
      </c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200" t="s">
        <v>60</v>
      </c>
      <c r="O39" s="201"/>
    </row>
    <row r="40" spans="1:17" ht="15" x14ac:dyDescent="0.25">
      <c r="A40" s="202" t="s">
        <v>3</v>
      </c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4" t="s">
        <v>3</v>
      </c>
      <c r="O40" s="205"/>
    </row>
    <row r="41" spans="1:17" ht="15.75" thickBot="1" x14ac:dyDescent="0.3">
      <c r="A41" s="273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5"/>
    </row>
    <row r="42" spans="1:17" ht="5.25" customHeight="1" x14ac:dyDescent="0.25">
      <c r="A42" s="176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</row>
    <row r="44" spans="1:17" ht="14.25" x14ac:dyDescent="0.2">
      <c r="Q44" s="48" t="s">
        <v>81</v>
      </c>
    </row>
    <row r="45" spans="1:17" ht="14.25" x14ac:dyDescent="0.2">
      <c r="Q45" s="48" t="s">
        <v>82</v>
      </c>
    </row>
    <row r="46" spans="1:17" ht="14.25" x14ac:dyDescent="0.2">
      <c r="Q46" s="48" t="s">
        <v>83</v>
      </c>
    </row>
    <row r="47" spans="1:17" ht="14.25" x14ac:dyDescent="0.2">
      <c r="Q47" s="48" t="s">
        <v>84</v>
      </c>
    </row>
    <row r="48" spans="1:17" ht="14.25" x14ac:dyDescent="0.2">
      <c r="Q48" s="48" t="s">
        <v>85</v>
      </c>
    </row>
    <row r="49" spans="17:17" ht="14.25" x14ac:dyDescent="0.2">
      <c r="Q49" s="48" t="s">
        <v>86</v>
      </c>
    </row>
    <row r="50" spans="17:17" ht="14.25" x14ac:dyDescent="0.2">
      <c r="Q50" s="48" t="s">
        <v>87</v>
      </c>
    </row>
    <row r="51" spans="17:17" ht="14.25" x14ac:dyDescent="0.2">
      <c r="Q51" s="48" t="s">
        <v>88</v>
      </c>
    </row>
    <row r="52" spans="17:17" ht="14.25" x14ac:dyDescent="0.2">
      <c r="Q52" s="48" t="s">
        <v>89</v>
      </c>
    </row>
    <row r="53" spans="17:17" ht="14.25" x14ac:dyDescent="0.2">
      <c r="Q53" s="48" t="s">
        <v>90</v>
      </c>
    </row>
    <row r="54" spans="17:17" ht="14.25" x14ac:dyDescent="0.2">
      <c r="Q54" s="48" t="s">
        <v>91</v>
      </c>
    </row>
    <row r="55" spans="17:17" ht="14.25" x14ac:dyDescent="0.2">
      <c r="Q55" s="48" t="s">
        <v>92</v>
      </c>
    </row>
    <row r="56" spans="17:17" ht="14.25" x14ac:dyDescent="0.2">
      <c r="Q56" s="48" t="s">
        <v>93</v>
      </c>
    </row>
    <row r="58" spans="17:17" x14ac:dyDescent="0.25">
      <c r="Q58" s="11">
        <v>0.98</v>
      </c>
    </row>
    <row r="59" spans="17:17" x14ac:dyDescent="0.25">
      <c r="Q59" s="11">
        <v>1</v>
      </c>
    </row>
  </sheetData>
  <sheetProtection algorithmName="SHA-512" hashValue="Sx7kQKDkDUJ5bQaNGWhAX1R30jYFBQ+sSca2zpRyS0eEiAsLlOjLq/CItbQ+ZDqbLncW/QDnSsnmtJyVdpBYWg==" saltValue="3603uQVtNHEnaJFvsfjpFQ==" spinCount="100000" sheet="1" objects="1" scenarios="1"/>
  <mergeCells count="74">
    <mergeCell ref="N29:O29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A34:M34"/>
    <mergeCell ref="A35:M35"/>
    <mergeCell ref="A36:M36"/>
    <mergeCell ref="A37:M37"/>
    <mergeCell ref="A38:M38"/>
    <mergeCell ref="A29:M29"/>
    <mergeCell ref="A30:M30"/>
    <mergeCell ref="A31:M31"/>
    <mergeCell ref="A32:M32"/>
    <mergeCell ref="A33:M33"/>
    <mergeCell ref="A42:O42"/>
    <mergeCell ref="A39:M39"/>
    <mergeCell ref="N39:O39"/>
    <mergeCell ref="A40:M40"/>
    <mergeCell ref="N40:O40"/>
    <mergeCell ref="A41:M41"/>
    <mergeCell ref="N41:O41"/>
    <mergeCell ref="A26:M26"/>
    <mergeCell ref="N26:O26"/>
    <mergeCell ref="A27:M27"/>
    <mergeCell ref="N27:O27"/>
    <mergeCell ref="A28:M28"/>
    <mergeCell ref="N28:O28"/>
    <mergeCell ref="A25:O25"/>
    <mergeCell ref="A16:B16"/>
    <mergeCell ref="A17:B17"/>
    <mergeCell ref="A18:A21"/>
    <mergeCell ref="A22:C23"/>
    <mergeCell ref="D22:G22"/>
    <mergeCell ref="H22:K22"/>
    <mergeCell ref="L22:O22"/>
    <mergeCell ref="D23:G23"/>
    <mergeCell ref="H23:K23"/>
    <mergeCell ref="L23:O23"/>
    <mergeCell ref="A24:O24"/>
    <mergeCell ref="A15:B15"/>
    <mergeCell ref="L7:O7"/>
    <mergeCell ref="L8:M8"/>
    <mergeCell ref="N8:O8"/>
    <mergeCell ref="A9:D9"/>
    <mergeCell ref="F9:G9"/>
    <mergeCell ref="J9:O9"/>
    <mergeCell ref="A10:O10"/>
    <mergeCell ref="A11:O11"/>
    <mergeCell ref="A12:O12"/>
    <mergeCell ref="A13:O13"/>
    <mergeCell ref="A14:B14"/>
    <mergeCell ref="A5:E5"/>
    <mergeCell ref="F5:O5"/>
    <mergeCell ref="A6:E6"/>
    <mergeCell ref="G6:O6"/>
    <mergeCell ref="A7:D8"/>
    <mergeCell ref="E7:E8"/>
    <mergeCell ref="F7:G8"/>
    <mergeCell ref="H7:H8"/>
    <mergeCell ref="I7:I8"/>
    <mergeCell ref="J7:K8"/>
    <mergeCell ref="A4:E4"/>
    <mergeCell ref="F4:O4"/>
    <mergeCell ref="A1:C2"/>
    <mergeCell ref="D1:O1"/>
    <mergeCell ref="D2:O2"/>
    <mergeCell ref="A3:E3"/>
    <mergeCell ref="F3:O3"/>
  </mergeCells>
  <dataValidations count="1">
    <dataValidation type="list" allowBlank="1" showInputMessage="1" showErrorMessage="1" sqref="J9:O9">
      <formula1>$Q$44:$Q$56</formula1>
    </dataValidation>
  </dataValidations>
  <pageMargins left="0.39370078740157483" right="0.39370078740157483" top="0.35433070866141736" bottom="0.35433070866141736" header="0" footer="0"/>
  <pageSetup scale="73" orientation="portrait" horizontalDpi="4294967294" verticalDpi="4294967294" r:id="rId1"/>
  <headerFooter alignWithMargins="0">
    <oddFooter>&amp;R&amp;8Diseñado por: Wilson Andrade González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59"/>
  <sheetViews>
    <sheetView windowProtection="1" zoomScaleSheetLayoutView="72" workbookViewId="0">
      <selection activeCell="N27" sqref="N27:O38"/>
    </sheetView>
  </sheetViews>
  <sheetFormatPr baseColWidth="10" defaultRowHeight="12.75" x14ac:dyDescent="0.25"/>
  <cols>
    <col min="1" max="1" width="3.85546875" style="3" customWidth="1"/>
    <col min="2" max="2" width="26.85546875" style="3" customWidth="1"/>
    <col min="3" max="11" width="7.7109375" style="3" customWidth="1"/>
    <col min="12" max="12" width="8.28515625" style="3" customWidth="1"/>
    <col min="13" max="15" width="7.7109375" style="3" customWidth="1"/>
    <col min="16" max="16" width="7.28515625" style="3" customWidth="1"/>
    <col min="17" max="18" width="11.42578125" style="3" hidden="1" customWidth="1"/>
    <col min="19" max="20" width="11.42578125" style="3" customWidth="1"/>
    <col min="21" max="21" width="9" style="3" customWidth="1"/>
    <col min="22" max="22" width="5.7109375" style="3" customWidth="1"/>
    <col min="23" max="23" width="10.42578125" style="3" customWidth="1"/>
    <col min="24" max="24" width="10" style="3" customWidth="1"/>
    <col min="25" max="257" width="11.42578125" style="3"/>
    <col min="258" max="258" width="26.85546875" style="3" customWidth="1"/>
    <col min="259" max="267" width="7.7109375" style="3" customWidth="1"/>
    <col min="268" max="268" width="8.28515625" style="3" customWidth="1"/>
    <col min="269" max="271" width="7.7109375" style="3" customWidth="1"/>
    <col min="272" max="513" width="11.42578125" style="3"/>
    <col min="514" max="514" width="26.85546875" style="3" customWidth="1"/>
    <col min="515" max="523" width="7.7109375" style="3" customWidth="1"/>
    <col min="524" max="524" width="8.28515625" style="3" customWidth="1"/>
    <col min="525" max="527" width="7.7109375" style="3" customWidth="1"/>
    <col min="528" max="769" width="11.42578125" style="3"/>
    <col min="770" max="770" width="26.85546875" style="3" customWidth="1"/>
    <col min="771" max="779" width="7.7109375" style="3" customWidth="1"/>
    <col min="780" max="780" width="8.28515625" style="3" customWidth="1"/>
    <col min="781" max="783" width="7.7109375" style="3" customWidth="1"/>
    <col min="784" max="1025" width="11.42578125" style="3"/>
    <col min="1026" max="1026" width="26.85546875" style="3" customWidth="1"/>
    <col min="1027" max="1035" width="7.7109375" style="3" customWidth="1"/>
    <col min="1036" max="1036" width="8.28515625" style="3" customWidth="1"/>
    <col min="1037" max="1039" width="7.7109375" style="3" customWidth="1"/>
    <col min="1040" max="1281" width="11.42578125" style="3"/>
    <col min="1282" max="1282" width="26.85546875" style="3" customWidth="1"/>
    <col min="1283" max="1291" width="7.7109375" style="3" customWidth="1"/>
    <col min="1292" max="1292" width="8.28515625" style="3" customWidth="1"/>
    <col min="1293" max="1295" width="7.7109375" style="3" customWidth="1"/>
    <col min="1296" max="1537" width="11.42578125" style="3"/>
    <col min="1538" max="1538" width="26.85546875" style="3" customWidth="1"/>
    <col min="1539" max="1547" width="7.7109375" style="3" customWidth="1"/>
    <col min="1548" max="1548" width="8.28515625" style="3" customWidth="1"/>
    <col min="1549" max="1551" width="7.7109375" style="3" customWidth="1"/>
    <col min="1552" max="1793" width="11.42578125" style="3"/>
    <col min="1794" max="1794" width="26.85546875" style="3" customWidth="1"/>
    <col min="1795" max="1803" width="7.7109375" style="3" customWidth="1"/>
    <col min="1804" max="1804" width="8.28515625" style="3" customWidth="1"/>
    <col min="1805" max="1807" width="7.7109375" style="3" customWidth="1"/>
    <col min="1808" max="2049" width="11.42578125" style="3"/>
    <col min="2050" max="2050" width="26.85546875" style="3" customWidth="1"/>
    <col min="2051" max="2059" width="7.7109375" style="3" customWidth="1"/>
    <col min="2060" max="2060" width="8.28515625" style="3" customWidth="1"/>
    <col min="2061" max="2063" width="7.7109375" style="3" customWidth="1"/>
    <col min="2064" max="2305" width="11.42578125" style="3"/>
    <col min="2306" max="2306" width="26.85546875" style="3" customWidth="1"/>
    <col min="2307" max="2315" width="7.7109375" style="3" customWidth="1"/>
    <col min="2316" max="2316" width="8.28515625" style="3" customWidth="1"/>
    <col min="2317" max="2319" width="7.7109375" style="3" customWidth="1"/>
    <col min="2320" max="2561" width="11.42578125" style="3"/>
    <col min="2562" max="2562" width="26.85546875" style="3" customWidth="1"/>
    <col min="2563" max="2571" width="7.7109375" style="3" customWidth="1"/>
    <col min="2572" max="2572" width="8.28515625" style="3" customWidth="1"/>
    <col min="2573" max="2575" width="7.7109375" style="3" customWidth="1"/>
    <col min="2576" max="2817" width="11.42578125" style="3"/>
    <col min="2818" max="2818" width="26.85546875" style="3" customWidth="1"/>
    <col min="2819" max="2827" width="7.7109375" style="3" customWidth="1"/>
    <col min="2828" max="2828" width="8.28515625" style="3" customWidth="1"/>
    <col min="2829" max="2831" width="7.7109375" style="3" customWidth="1"/>
    <col min="2832" max="3073" width="11.42578125" style="3"/>
    <col min="3074" max="3074" width="26.85546875" style="3" customWidth="1"/>
    <col min="3075" max="3083" width="7.7109375" style="3" customWidth="1"/>
    <col min="3084" max="3084" width="8.28515625" style="3" customWidth="1"/>
    <col min="3085" max="3087" width="7.7109375" style="3" customWidth="1"/>
    <col min="3088" max="3329" width="11.42578125" style="3"/>
    <col min="3330" max="3330" width="26.85546875" style="3" customWidth="1"/>
    <col min="3331" max="3339" width="7.7109375" style="3" customWidth="1"/>
    <col min="3340" max="3340" width="8.28515625" style="3" customWidth="1"/>
    <col min="3341" max="3343" width="7.7109375" style="3" customWidth="1"/>
    <col min="3344" max="3585" width="11.42578125" style="3"/>
    <col min="3586" max="3586" width="26.85546875" style="3" customWidth="1"/>
    <col min="3587" max="3595" width="7.7109375" style="3" customWidth="1"/>
    <col min="3596" max="3596" width="8.28515625" style="3" customWidth="1"/>
    <col min="3597" max="3599" width="7.7109375" style="3" customWidth="1"/>
    <col min="3600" max="3841" width="11.42578125" style="3"/>
    <col min="3842" max="3842" width="26.85546875" style="3" customWidth="1"/>
    <col min="3843" max="3851" width="7.7109375" style="3" customWidth="1"/>
    <col min="3852" max="3852" width="8.28515625" style="3" customWidth="1"/>
    <col min="3853" max="3855" width="7.7109375" style="3" customWidth="1"/>
    <col min="3856" max="4097" width="11.42578125" style="3"/>
    <col min="4098" max="4098" width="26.85546875" style="3" customWidth="1"/>
    <col min="4099" max="4107" width="7.7109375" style="3" customWidth="1"/>
    <col min="4108" max="4108" width="8.28515625" style="3" customWidth="1"/>
    <col min="4109" max="4111" width="7.7109375" style="3" customWidth="1"/>
    <col min="4112" max="4353" width="11.42578125" style="3"/>
    <col min="4354" max="4354" width="26.85546875" style="3" customWidth="1"/>
    <col min="4355" max="4363" width="7.7109375" style="3" customWidth="1"/>
    <col min="4364" max="4364" width="8.28515625" style="3" customWidth="1"/>
    <col min="4365" max="4367" width="7.7109375" style="3" customWidth="1"/>
    <col min="4368" max="4609" width="11.42578125" style="3"/>
    <col min="4610" max="4610" width="26.85546875" style="3" customWidth="1"/>
    <col min="4611" max="4619" width="7.7109375" style="3" customWidth="1"/>
    <col min="4620" max="4620" width="8.28515625" style="3" customWidth="1"/>
    <col min="4621" max="4623" width="7.7109375" style="3" customWidth="1"/>
    <col min="4624" max="4865" width="11.42578125" style="3"/>
    <col min="4866" max="4866" width="26.85546875" style="3" customWidth="1"/>
    <col min="4867" max="4875" width="7.7109375" style="3" customWidth="1"/>
    <col min="4876" max="4876" width="8.28515625" style="3" customWidth="1"/>
    <col min="4877" max="4879" width="7.7109375" style="3" customWidth="1"/>
    <col min="4880" max="5121" width="11.42578125" style="3"/>
    <col min="5122" max="5122" width="26.85546875" style="3" customWidth="1"/>
    <col min="5123" max="5131" width="7.7109375" style="3" customWidth="1"/>
    <col min="5132" max="5132" width="8.28515625" style="3" customWidth="1"/>
    <col min="5133" max="5135" width="7.7109375" style="3" customWidth="1"/>
    <col min="5136" max="5377" width="11.42578125" style="3"/>
    <col min="5378" max="5378" width="26.85546875" style="3" customWidth="1"/>
    <col min="5379" max="5387" width="7.7109375" style="3" customWidth="1"/>
    <col min="5388" max="5388" width="8.28515625" style="3" customWidth="1"/>
    <col min="5389" max="5391" width="7.7109375" style="3" customWidth="1"/>
    <col min="5392" max="5633" width="11.42578125" style="3"/>
    <col min="5634" max="5634" width="26.85546875" style="3" customWidth="1"/>
    <col min="5635" max="5643" width="7.7109375" style="3" customWidth="1"/>
    <col min="5644" max="5644" width="8.28515625" style="3" customWidth="1"/>
    <col min="5645" max="5647" width="7.7109375" style="3" customWidth="1"/>
    <col min="5648" max="5889" width="11.42578125" style="3"/>
    <col min="5890" max="5890" width="26.85546875" style="3" customWidth="1"/>
    <col min="5891" max="5899" width="7.7109375" style="3" customWidth="1"/>
    <col min="5900" max="5900" width="8.28515625" style="3" customWidth="1"/>
    <col min="5901" max="5903" width="7.7109375" style="3" customWidth="1"/>
    <col min="5904" max="6145" width="11.42578125" style="3"/>
    <col min="6146" max="6146" width="26.85546875" style="3" customWidth="1"/>
    <col min="6147" max="6155" width="7.7109375" style="3" customWidth="1"/>
    <col min="6156" max="6156" width="8.28515625" style="3" customWidth="1"/>
    <col min="6157" max="6159" width="7.7109375" style="3" customWidth="1"/>
    <col min="6160" max="6401" width="11.42578125" style="3"/>
    <col min="6402" max="6402" width="26.85546875" style="3" customWidth="1"/>
    <col min="6403" max="6411" width="7.7109375" style="3" customWidth="1"/>
    <col min="6412" max="6412" width="8.28515625" style="3" customWidth="1"/>
    <col min="6413" max="6415" width="7.7109375" style="3" customWidth="1"/>
    <col min="6416" max="6657" width="11.42578125" style="3"/>
    <col min="6658" max="6658" width="26.85546875" style="3" customWidth="1"/>
    <col min="6659" max="6667" width="7.7109375" style="3" customWidth="1"/>
    <col min="6668" max="6668" width="8.28515625" style="3" customWidth="1"/>
    <col min="6669" max="6671" width="7.7109375" style="3" customWidth="1"/>
    <col min="6672" max="6913" width="11.42578125" style="3"/>
    <col min="6914" max="6914" width="26.85546875" style="3" customWidth="1"/>
    <col min="6915" max="6923" width="7.7109375" style="3" customWidth="1"/>
    <col min="6924" max="6924" width="8.28515625" style="3" customWidth="1"/>
    <col min="6925" max="6927" width="7.7109375" style="3" customWidth="1"/>
    <col min="6928" max="7169" width="11.42578125" style="3"/>
    <col min="7170" max="7170" width="26.85546875" style="3" customWidth="1"/>
    <col min="7171" max="7179" width="7.7109375" style="3" customWidth="1"/>
    <col min="7180" max="7180" width="8.28515625" style="3" customWidth="1"/>
    <col min="7181" max="7183" width="7.7109375" style="3" customWidth="1"/>
    <col min="7184" max="7425" width="11.42578125" style="3"/>
    <col min="7426" max="7426" width="26.85546875" style="3" customWidth="1"/>
    <col min="7427" max="7435" width="7.7109375" style="3" customWidth="1"/>
    <col min="7436" max="7436" width="8.28515625" style="3" customWidth="1"/>
    <col min="7437" max="7439" width="7.7109375" style="3" customWidth="1"/>
    <col min="7440" max="7681" width="11.42578125" style="3"/>
    <col min="7682" max="7682" width="26.85546875" style="3" customWidth="1"/>
    <col min="7683" max="7691" width="7.7109375" style="3" customWidth="1"/>
    <col min="7692" max="7692" width="8.28515625" style="3" customWidth="1"/>
    <col min="7693" max="7695" width="7.7109375" style="3" customWidth="1"/>
    <col min="7696" max="7937" width="11.42578125" style="3"/>
    <col min="7938" max="7938" width="26.85546875" style="3" customWidth="1"/>
    <col min="7939" max="7947" width="7.7109375" style="3" customWidth="1"/>
    <col min="7948" max="7948" width="8.28515625" style="3" customWidth="1"/>
    <col min="7949" max="7951" width="7.7109375" style="3" customWidth="1"/>
    <col min="7952" max="8193" width="11.42578125" style="3"/>
    <col min="8194" max="8194" width="26.85546875" style="3" customWidth="1"/>
    <col min="8195" max="8203" width="7.7109375" style="3" customWidth="1"/>
    <col min="8204" max="8204" width="8.28515625" style="3" customWidth="1"/>
    <col min="8205" max="8207" width="7.7109375" style="3" customWidth="1"/>
    <col min="8208" max="8449" width="11.42578125" style="3"/>
    <col min="8450" max="8450" width="26.85546875" style="3" customWidth="1"/>
    <col min="8451" max="8459" width="7.7109375" style="3" customWidth="1"/>
    <col min="8460" max="8460" width="8.28515625" style="3" customWidth="1"/>
    <col min="8461" max="8463" width="7.7109375" style="3" customWidth="1"/>
    <col min="8464" max="8705" width="11.42578125" style="3"/>
    <col min="8706" max="8706" width="26.85546875" style="3" customWidth="1"/>
    <col min="8707" max="8715" width="7.7109375" style="3" customWidth="1"/>
    <col min="8716" max="8716" width="8.28515625" style="3" customWidth="1"/>
    <col min="8717" max="8719" width="7.7109375" style="3" customWidth="1"/>
    <col min="8720" max="8961" width="11.42578125" style="3"/>
    <col min="8962" max="8962" width="26.85546875" style="3" customWidth="1"/>
    <col min="8963" max="8971" width="7.7109375" style="3" customWidth="1"/>
    <col min="8972" max="8972" width="8.28515625" style="3" customWidth="1"/>
    <col min="8973" max="8975" width="7.7109375" style="3" customWidth="1"/>
    <col min="8976" max="9217" width="11.42578125" style="3"/>
    <col min="9218" max="9218" width="26.85546875" style="3" customWidth="1"/>
    <col min="9219" max="9227" width="7.7109375" style="3" customWidth="1"/>
    <col min="9228" max="9228" width="8.28515625" style="3" customWidth="1"/>
    <col min="9229" max="9231" width="7.7109375" style="3" customWidth="1"/>
    <col min="9232" max="9473" width="11.42578125" style="3"/>
    <col min="9474" max="9474" width="26.85546875" style="3" customWidth="1"/>
    <col min="9475" max="9483" width="7.7109375" style="3" customWidth="1"/>
    <col min="9484" max="9484" width="8.28515625" style="3" customWidth="1"/>
    <col min="9485" max="9487" width="7.7109375" style="3" customWidth="1"/>
    <col min="9488" max="9729" width="11.42578125" style="3"/>
    <col min="9730" max="9730" width="26.85546875" style="3" customWidth="1"/>
    <col min="9731" max="9739" width="7.7109375" style="3" customWidth="1"/>
    <col min="9740" max="9740" width="8.28515625" style="3" customWidth="1"/>
    <col min="9741" max="9743" width="7.7109375" style="3" customWidth="1"/>
    <col min="9744" max="9985" width="11.42578125" style="3"/>
    <col min="9986" max="9986" width="26.85546875" style="3" customWidth="1"/>
    <col min="9987" max="9995" width="7.7109375" style="3" customWidth="1"/>
    <col min="9996" max="9996" width="8.28515625" style="3" customWidth="1"/>
    <col min="9997" max="9999" width="7.7109375" style="3" customWidth="1"/>
    <col min="10000" max="10241" width="11.42578125" style="3"/>
    <col min="10242" max="10242" width="26.85546875" style="3" customWidth="1"/>
    <col min="10243" max="10251" width="7.7109375" style="3" customWidth="1"/>
    <col min="10252" max="10252" width="8.28515625" style="3" customWidth="1"/>
    <col min="10253" max="10255" width="7.7109375" style="3" customWidth="1"/>
    <col min="10256" max="10497" width="11.42578125" style="3"/>
    <col min="10498" max="10498" width="26.85546875" style="3" customWidth="1"/>
    <col min="10499" max="10507" width="7.7109375" style="3" customWidth="1"/>
    <col min="10508" max="10508" width="8.28515625" style="3" customWidth="1"/>
    <col min="10509" max="10511" width="7.7109375" style="3" customWidth="1"/>
    <col min="10512" max="10753" width="11.42578125" style="3"/>
    <col min="10754" max="10754" width="26.85546875" style="3" customWidth="1"/>
    <col min="10755" max="10763" width="7.7109375" style="3" customWidth="1"/>
    <col min="10764" max="10764" width="8.28515625" style="3" customWidth="1"/>
    <col min="10765" max="10767" width="7.7109375" style="3" customWidth="1"/>
    <col min="10768" max="11009" width="11.42578125" style="3"/>
    <col min="11010" max="11010" width="26.85546875" style="3" customWidth="1"/>
    <col min="11011" max="11019" width="7.7109375" style="3" customWidth="1"/>
    <col min="11020" max="11020" width="8.28515625" style="3" customWidth="1"/>
    <col min="11021" max="11023" width="7.7109375" style="3" customWidth="1"/>
    <col min="11024" max="11265" width="11.42578125" style="3"/>
    <col min="11266" max="11266" width="26.85546875" style="3" customWidth="1"/>
    <col min="11267" max="11275" width="7.7109375" style="3" customWidth="1"/>
    <col min="11276" max="11276" width="8.28515625" style="3" customWidth="1"/>
    <col min="11277" max="11279" width="7.7109375" style="3" customWidth="1"/>
    <col min="11280" max="11521" width="11.42578125" style="3"/>
    <col min="11522" max="11522" width="26.85546875" style="3" customWidth="1"/>
    <col min="11523" max="11531" width="7.7109375" style="3" customWidth="1"/>
    <col min="11532" max="11532" width="8.28515625" style="3" customWidth="1"/>
    <col min="11533" max="11535" width="7.7109375" style="3" customWidth="1"/>
    <col min="11536" max="11777" width="11.42578125" style="3"/>
    <col min="11778" max="11778" width="26.85546875" style="3" customWidth="1"/>
    <col min="11779" max="11787" width="7.7109375" style="3" customWidth="1"/>
    <col min="11788" max="11788" width="8.28515625" style="3" customWidth="1"/>
    <col min="11789" max="11791" width="7.7109375" style="3" customWidth="1"/>
    <col min="11792" max="12033" width="11.42578125" style="3"/>
    <col min="12034" max="12034" width="26.85546875" style="3" customWidth="1"/>
    <col min="12035" max="12043" width="7.7109375" style="3" customWidth="1"/>
    <col min="12044" max="12044" width="8.28515625" style="3" customWidth="1"/>
    <col min="12045" max="12047" width="7.7109375" style="3" customWidth="1"/>
    <col min="12048" max="12289" width="11.42578125" style="3"/>
    <col min="12290" max="12290" width="26.85546875" style="3" customWidth="1"/>
    <col min="12291" max="12299" width="7.7109375" style="3" customWidth="1"/>
    <col min="12300" max="12300" width="8.28515625" style="3" customWidth="1"/>
    <col min="12301" max="12303" width="7.7109375" style="3" customWidth="1"/>
    <col min="12304" max="12545" width="11.42578125" style="3"/>
    <col min="12546" max="12546" width="26.85546875" style="3" customWidth="1"/>
    <col min="12547" max="12555" width="7.7109375" style="3" customWidth="1"/>
    <col min="12556" max="12556" width="8.28515625" style="3" customWidth="1"/>
    <col min="12557" max="12559" width="7.7109375" style="3" customWidth="1"/>
    <col min="12560" max="12801" width="11.42578125" style="3"/>
    <col min="12802" max="12802" width="26.85546875" style="3" customWidth="1"/>
    <col min="12803" max="12811" width="7.7109375" style="3" customWidth="1"/>
    <col min="12812" max="12812" width="8.28515625" style="3" customWidth="1"/>
    <col min="12813" max="12815" width="7.7109375" style="3" customWidth="1"/>
    <col min="12816" max="13057" width="11.42578125" style="3"/>
    <col min="13058" max="13058" width="26.85546875" style="3" customWidth="1"/>
    <col min="13059" max="13067" width="7.7109375" style="3" customWidth="1"/>
    <col min="13068" max="13068" width="8.28515625" style="3" customWidth="1"/>
    <col min="13069" max="13071" width="7.7109375" style="3" customWidth="1"/>
    <col min="13072" max="13313" width="11.42578125" style="3"/>
    <col min="13314" max="13314" width="26.85546875" style="3" customWidth="1"/>
    <col min="13315" max="13323" width="7.7109375" style="3" customWidth="1"/>
    <col min="13324" max="13324" width="8.28515625" style="3" customWidth="1"/>
    <col min="13325" max="13327" width="7.7109375" style="3" customWidth="1"/>
    <col min="13328" max="13569" width="11.42578125" style="3"/>
    <col min="13570" max="13570" width="26.85546875" style="3" customWidth="1"/>
    <col min="13571" max="13579" width="7.7109375" style="3" customWidth="1"/>
    <col min="13580" max="13580" width="8.28515625" style="3" customWidth="1"/>
    <col min="13581" max="13583" width="7.7109375" style="3" customWidth="1"/>
    <col min="13584" max="13825" width="11.42578125" style="3"/>
    <col min="13826" max="13826" width="26.85546875" style="3" customWidth="1"/>
    <col min="13827" max="13835" width="7.7109375" style="3" customWidth="1"/>
    <col min="13836" max="13836" width="8.28515625" style="3" customWidth="1"/>
    <col min="13837" max="13839" width="7.7109375" style="3" customWidth="1"/>
    <col min="13840" max="14081" width="11.42578125" style="3"/>
    <col min="14082" max="14082" width="26.85546875" style="3" customWidth="1"/>
    <col min="14083" max="14091" width="7.7109375" style="3" customWidth="1"/>
    <col min="14092" max="14092" width="8.28515625" style="3" customWidth="1"/>
    <col min="14093" max="14095" width="7.7109375" style="3" customWidth="1"/>
    <col min="14096" max="14337" width="11.42578125" style="3"/>
    <col min="14338" max="14338" width="26.85546875" style="3" customWidth="1"/>
    <col min="14339" max="14347" width="7.7109375" style="3" customWidth="1"/>
    <col min="14348" max="14348" width="8.28515625" style="3" customWidth="1"/>
    <col min="14349" max="14351" width="7.7109375" style="3" customWidth="1"/>
    <col min="14352" max="14593" width="11.42578125" style="3"/>
    <col min="14594" max="14594" width="26.85546875" style="3" customWidth="1"/>
    <col min="14595" max="14603" width="7.7109375" style="3" customWidth="1"/>
    <col min="14604" max="14604" width="8.28515625" style="3" customWidth="1"/>
    <col min="14605" max="14607" width="7.7109375" style="3" customWidth="1"/>
    <col min="14608" max="14849" width="11.42578125" style="3"/>
    <col min="14850" max="14850" width="26.85546875" style="3" customWidth="1"/>
    <col min="14851" max="14859" width="7.7109375" style="3" customWidth="1"/>
    <col min="14860" max="14860" width="8.28515625" style="3" customWidth="1"/>
    <col min="14861" max="14863" width="7.7109375" style="3" customWidth="1"/>
    <col min="14864" max="15105" width="11.42578125" style="3"/>
    <col min="15106" max="15106" width="26.85546875" style="3" customWidth="1"/>
    <col min="15107" max="15115" width="7.7109375" style="3" customWidth="1"/>
    <col min="15116" max="15116" width="8.28515625" style="3" customWidth="1"/>
    <col min="15117" max="15119" width="7.7109375" style="3" customWidth="1"/>
    <col min="15120" max="15361" width="11.42578125" style="3"/>
    <col min="15362" max="15362" width="26.85546875" style="3" customWidth="1"/>
    <col min="15363" max="15371" width="7.7109375" style="3" customWidth="1"/>
    <col min="15372" max="15372" width="8.28515625" style="3" customWidth="1"/>
    <col min="15373" max="15375" width="7.7109375" style="3" customWidth="1"/>
    <col min="15376" max="15617" width="11.42578125" style="3"/>
    <col min="15618" max="15618" width="26.85546875" style="3" customWidth="1"/>
    <col min="15619" max="15627" width="7.7109375" style="3" customWidth="1"/>
    <col min="15628" max="15628" width="8.28515625" style="3" customWidth="1"/>
    <col min="15629" max="15631" width="7.7109375" style="3" customWidth="1"/>
    <col min="15632" max="15873" width="11.42578125" style="3"/>
    <col min="15874" max="15874" width="26.85546875" style="3" customWidth="1"/>
    <col min="15875" max="15883" width="7.7109375" style="3" customWidth="1"/>
    <col min="15884" max="15884" width="8.28515625" style="3" customWidth="1"/>
    <col min="15885" max="15887" width="7.7109375" style="3" customWidth="1"/>
    <col min="15888" max="16129" width="11.42578125" style="3"/>
    <col min="16130" max="16130" width="26.85546875" style="3" customWidth="1"/>
    <col min="16131" max="16139" width="7.7109375" style="3" customWidth="1"/>
    <col min="16140" max="16140" width="8.28515625" style="3" customWidth="1"/>
    <col min="16141" max="16143" width="7.7109375" style="3" customWidth="1"/>
    <col min="16144" max="16384" width="11.42578125" style="3"/>
  </cols>
  <sheetData>
    <row r="1" spans="1:24" ht="20.25" customHeight="1" x14ac:dyDescent="0.25">
      <c r="A1" s="247"/>
      <c r="B1" s="248"/>
      <c r="C1" s="249"/>
      <c r="D1" s="243" t="s">
        <v>20</v>
      </c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4"/>
    </row>
    <row r="2" spans="1:24" ht="15.75" customHeight="1" thickBot="1" x14ac:dyDescent="0.3">
      <c r="A2" s="250"/>
      <c r="B2" s="251"/>
      <c r="C2" s="252"/>
      <c r="D2" s="245" t="s">
        <v>67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6"/>
    </row>
    <row r="3" spans="1:24" ht="13.5" customHeight="1" x14ac:dyDescent="0.25">
      <c r="A3" s="253" t="s">
        <v>0</v>
      </c>
      <c r="B3" s="254"/>
      <c r="C3" s="254"/>
      <c r="D3" s="254"/>
      <c r="E3" s="254"/>
      <c r="F3" s="254" t="str">
        <f>'SET SP Nataga'!J3</f>
        <v>GESTIÓN DE SERVICIOS PÚBLICOS - NATAGA</v>
      </c>
      <c r="G3" s="254"/>
      <c r="H3" s="254"/>
      <c r="I3" s="254"/>
      <c r="J3" s="254"/>
      <c r="K3" s="254"/>
      <c r="L3" s="254"/>
      <c r="M3" s="254"/>
      <c r="N3" s="254"/>
      <c r="O3" s="255"/>
    </row>
    <row r="4" spans="1:24" ht="15.75" customHeight="1" x14ac:dyDescent="0.25">
      <c r="A4" s="235" t="s">
        <v>1</v>
      </c>
      <c r="B4" s="236"/>
      <c r="C4" s="236"/>
      <c r="D4" s="236"/>
      <c r="E4" s="236"/>
      <c r="F4" s="256" t="str">
        <f>'SET SP Nataga'!$B18</f>
        <v>PQR en la prestación del servicio.</v>
      </c>
      <c r="G4" s="256"/>
      <c r="H4" s="256"/>
      <c r="I4" s="256"/>
      <c r="J4" s="256"/>
      <c r="K4" s="256"/>
      <c r="L4" s="256"/>
      <c r="M4" s="256"/>
      <c r="N4" s="256"/>
      <c r="O4" s="277"/>
    </row>
    <row r="5" spans="1:24" ht="15.75" customHeight="1" x14ac:dyDescent="0.25">
      <c r="A5" s="235" t="s">
        <v>55</v>
      </c>
      <c r="B5" s="236"/>
      <c r="C5" s="236"/>
      <c r="D5" s="236"/>
      <c r="E5" s="236"/>
      <c r="F5" s="238" t="str">
        <f>'SET SP Nataga'!F18</f>
        <v xml:space="preserve">Eficiencia </v>
      </c>
      <c r="G5" s="239"/>
      <c r="H5" s="239"/>
      <c r="I5" s="239"/>
      <c r="J5" s="239"/>
      <c r="K5" s="239"/>
      <c r="L5" s="239"/>
      <c r="M5" s="239"/>
      <c r="N5" s="239"/>
      <c r="O5" s="240"/>
    </row>
    <row r="6" spans="1:24" ht="17.25" customHeight="1" thickBot="1" x14ac:dyDescent="0.3">
      <c r="A6" s="259" t="s">
        <v>21</v>
      </c>
      <c r="B6" s="260"/>
      <c r="C6" s="260"/>
      <c r="D6" s="260"/>
      <c r="E6" s="260"/>
      <c r="F6" s="26" t="s">
        <v>94</v>
      </c>
      <c r="G6" s="261" t="str">
        <f>'SET SP Nataga'!A18</f>
        <v>IN13</v>
      </c>
      <c r="H6" s="261"/>
      <c r="I6" s="261"/>
      <c r="J6" s="261"/>
      <c r="K6" s="261"/>
      <c r="L6" s="261"/>
      <c r="M6" s="261"/>
      <c r="N6" s="261"/>
      <c r="O6" s="276"/>
    </row>
    <row r="7" spans="1:24" ht="12.75" customHeight="1" x14ac:dyDescent="0.25">
      <c r="A7" s="264" t="s">
        <v>22</v>
      </c>
      <c r="B7" s="265"/>
      <c r="C7" s="265"/>
      <c r="D7" s="265"/>
      <c r="E7" s="230" t="s">
        <v>23</v>
      </c>
      <c r="F7" s="230" t="s">
        <v>24</v>
      </c>
      <c r="G7" s="230"/>
      <c r="H7" s="230" t="s">
        <v>25</v>
      </c>
      <c r="I7" s="230" t="s">
        <v>26</v>
      </c>
      <c r="J7" s="230" t="s">
        <v>27</v>
      </c>
      <c r="K7" s="230"/>
      <c r="L7" s="232" t="s">
        <v>28</v>
      </c>
      <c r="M7" s="232"/>
      <c r="N7" s="232"/>
      <c r="O7" s="233"/>
    </row>
    <row r="8" spans="1:24" ht="46.5" customHeight="1" x14ac:dyDescent="0.25">
      <c r="A8" s="266"/>
      <c r="B8" s="234"/>
      <c r="C8" s="234"/>
      <c r="D8" s="234"/>
      <c r="E8" s="231"/>
      <c r="F8" s="231"/>
      <c r="G8" s="231"/>
      <c r="H8" s="231"/>
      <c r="I8" s="231"/>
      <c r="J8" s="231"/>
      <c r="K8" s="231"/>
      <c r="L8" s="234" t="s">
        <v>29</v>
      </c>
      <c r="M8" s="234"/>
      <c r="N8" s="234" t="s">
        <v>30</v>
      </c>
      <c r="O8" s="237"/>
    </row>
    <row r="9" spans="1:24" ht="48" customHeight="1" thickBot="1" x14ac:dyDescent="0.3">
      <c r="A9" s="206" t="str">
        <f>'SET SP Nataga'!$C18</f>
        <v>Medir el grado de satisfación de los suscriptores en la prestación del servicio.</v>
      </c>
      <c r="B9" s="207"/>
      <c r="C9" s="207"/>
      <c r="D9" s="207"/>
      <c r="E9" s="17" t="s">
        <v>35</v>
      </c>
      <c r="F9" s="288" t="str">
        <f>'SET SP Nataga'!$D18</f>
        <v>Número de PQR recibidas / número de suscriptores del servicio*100</v>
      </c>
      <c r="G9" s="291"/>
      <c r="H9" s="14">
        <f>$O16</f>
        <v>0</v>
      </c>
      <c r="I9" s="36" t="str">
        <f>'SET SP Nataga'!$E18</f>
        <v>Trimestral</v>
      </c>
      <c r="J9" s="208" t="s">
        <v>89</v>
      </c>
      <c r="K9" s="209"/>
      <c r="L9" s="209"/>
      <c r="M9" s="209"/>
      <c r="N9" s="209"/>
      <c r="O9" s="210"/>
    </row>
    <row r="10" spans="1:24" ht="13.5" customHeight="1" x14ac:dyDescent="0.25">
      <c r="A10" s="216" t="s">
        <v>38</v>
      </c>
      <c r="B10" s="217"/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8"/>
    </row>
    <row r="11" spans="1:24" ht="21.75" customHeight="1" thickBot="1" x14ac:dyDescent="0.3">
      <c r="A11" s="219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1"/>
    </row>
    <row r="12" spans="1:24" ht="15" customHeight="1" thickBot="1" x14ac:dyDescent="0.3">
      <c r="A12" s="281" t="s">
        <v>31</v>
      </c>
      <c r="B12" s="282"/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3"/>
      <c r="V12" s="9"/>
      <c r="W12" s="37"/>
      <c r="X12" s="37"/>
    </row>
    <row r="13" spans="1:24" ht="16.5" customHeight="1" x14ac:dyDescent="0.25">
      <c r="A13" s="225" t="s">
        <v>273</v>
      </c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7"/>
      <c r="V13" s="9"/>
      <c r="W13" s="10"/>
      <c r="X13" s="10"/>
    </row>
    <row r="14" spans="1:24" ht="16.5" customHeight="1" x14ac:dyDescent="0.25">
      <c r="A14" s="228" t="s">
        <v>32</v>
      </c>
      <c r="B14" s="229"/>
      <c r="C14" s="135" t="s">
        <v>8</v>
      </c>
      <c r="D14" s="135" t="s">
        <v>9</v>
      </c>
      <c r="E14" s="135" t="s">
        <v>10</v>
      </c>
      <c r="F14" s="135" t="s">
        <v>11</v>
      </c>
      <c r="G14" s="135" t="s">
        <v>12</v>
      </c>
      <c r="H14" s="135" t="s">
        <v>13</v>
      </c>
      <c r="I14" s="135" t="s">
        <v>14</v>
      </c>
      <c r="J14" s="135" t="s">
        <v>15</v>
      </c>
      <c r="K14" s="135" t="s">
        <v>16</v>
      </c>
      <c r="L14" s="135" t="s">
        <v>17</v>
      </c>
      <c r="M14" s="135" t="s">
        <v>18</v>
      </c>
      <c r="N14" s="135" t="s">
        <v>19</v>
      </c>
      <c r="O14" s="6" t="s">
        <v>33</v>
      </c>
      <c r="V14" s="9"/>
      <c r="W14" s="10"/>
      <c r="X14" s="10"/>
    </row>
    <row r="15" spans="1:24" ht="16.5" customHeight="1" x14ac:dyDescent="0.25">
      <c r="A15" s="183" t="s">
        <v>39</v>
      </c>
      <c r="B15" s="184"/>
      <c r="C15" s="137">
        <f t="shared" ref="C15:N15" si="0">$O$15</f>
        <v>0</v>
      </c>
      <c r="D15" s="137">
        <f t="shared" si="0"/>
        <v>0</v>
      </c>
      <c r="E15" s="137">
        <f t="shared" si="0"/>
        <v>0</v>
      </c>
      <c r="F15" s="137">
        <f t="shared" si="0"/>
        <v>0</v>
      </c>
      <c r="G15" s="137">
        <f t="shared" si="0"/>
        <v>0</v>
      </c>
      <c r="H15" s="137">
        <f t="shared" si="0"/>
        <v>0</v>
      </c>
      <c r="I15" s="137">
        <f t="shared" si="0"/>
        <v>0</v>
      </c>
      <c r="J15" s="137">
        <f t="shared" si="0"/>
        <v>0</v>
      </c>
      <c r="K15" s="137">
        <f t="shared" si="0"/>
        <v>0</v>
      </c>
      <c r="L15" s="137">
        <f t="shared" si="0"/>
        <v>0</v>
      </c>
      <c r="M15" s="137">
        <f t="shared" si="0"/>
        <v>0</v>
      </c>
      <c r="N15" s="137">
        <f t="shared" si="0"/>
        <v>0</v>
      </c>
      <c r="O15" s="145">
        <f>'SET SP Nataga'!J18</f>
        <v>0</v>
      </c>
      <c r="V15" s="9"/>
      <c r="W15" s="10"/>
      <c r="X15" s="10"/>
    </row>
    <row r="16" spans="1:24" ht="17.25" customHeight="1" x14ac:dyDescent="0.25">
      <c r="A16" s="183" t="s">
        <v>272</v>
      </c>
      <c r="B16" s="184"/>
      <c r="C16" s="137">
        <f t="shared" ref="C16:N16" si="1">$O$16</f>
        <v>0</v>
      </c>
      <c r="D16" s="137">
        <f t="shared" si="1"/>
        <v>0</v>
      </c>
      <c r="E16" s="137">
        <f t="shared" si="1"/>
        <v>0</v>
      </c>
      <c r="F16" s="137">
        <f t="shared" si="1"/>
        <v>0</v>
      </c>
      <c r="G16" s="137">
        <f t="shared" si="1"/>
        <v>0</v>
      </c>
      <c r="H16" s="137">
        <f t="shared" si="1"/>
        <v>0</v>
      </c>
      <c r="I16" s="137">
        <f t="shared" si="1"/>
        <v>0</v>
      </c>
      <c r="J16" s="137">
        <f t="shared" si="1"/>
        <v>0</v>
      </c>
      <c r="K16" s="137">
        <f t="shared" si="1"/>
        <v>0</v>
      </c>
      <c r="L16" s="137">
        <f t="shared" si="1"/>
        <v>0</v>
      </c>
      <c r="M16" s="137">
        <f t="shared" si="1"/>
        <v>0</v>
      </c>
      <c r="N16" s="137">
        <f t="shared" si="1"/>
        <v>0</v>
      </c>
      <c r="O16" s="145">
        <f>'SET SP Nataga'!K18</f>
        <v>0</v>
      </c>
      <c r="V16" s="9"/>
      <c r="W16" s="10"/>
      <c r="X16" s="10"/>
    </row>
    <row r="17" spans="1:24" ht="17.25" customHeight="1" x14ac:dyDescent="0.25">
      <c r="A17" s="187" t="s">
        <v>263</v>
      </c>
      <c r="B17" s="188"/>
      <c r="C17" s="12">
        <f t="shared" ref="C17:E17" si="2">IF((C19),C18/C19,"-")</f>
        <v>3.6900369003690036E-3</v>
      </c>
      <c r="D17" s="12">
        <f t="shared" si="2"/>
        <v>9.8039215686274508E-3</v>
      </c>
      <c r="E17" s="12">
        <f t="shared" si="2"/>
        <v>4.8780487804878049E-3</v>
      </c>
      <c r="F17" s="12">
        <f>IF((F19),F18/F19,"-")</f>
        <v>0</v>
      </c>
      <c r="G17" s="12">
        <f t="shared" ref="G17:O17" si="3">IF((G19),G18/G19,"-")</f>
        <v>0</v>
      </c>
      <c r="H17" s="12">
        <f t="shared" si="3"/>
        <v>3.6452004860267314E-3</v>
      </c>
      <c r="I17" s="12">
        <f t="shared" si="3"/>
        <v>1.2121212121212121E-3</v>
      </c>
      <c r="J17" s="12">
        <f t="shared" si="3"/>
        <v>2.4271844660194173E-3</v>
      </c>
      <c r="K17" s="12">
        <f t="shared" si="3"/>
        <v>0</v>
      </c>
      <c r="L17" s="12">
        <f t="shared" si="3"/>
        <v>0</v>
      </c>
      <c r="M17" s="12">
        <f t="shared" si="3"/>
        <v>3.6231884057971015E-3</v>
      </c>
      <c r="N17" s="12">
        <f t="shared" si="3"/>
        <v>2.4183796856106408E-3</v>
      </c>
      <c r="O17" s="13">
        <f t="shared" si="3"/>
        <v>2.6337115072933548E-3</v>
      </c>
      <c r="V17" s="9"/>
      <c r="W17" s="10"/>
      <c r="X17" s="10"/>
    </row>
    <row r="18" spans="1:24" ht="15" customHeight="1" x14ac:dyDescent="0.25">
      <c r="A18" s="189" t="s">
        <v>37</v>
      </c>
      <c r="B18" s="39" t="s">
        <v>165</v>
      </c>
      <c r="C18" s="23">
        <f>+'NATAGA-18'!D40</f>
        <v>3</v>
      </c>
      <c r="D18" s="23">
        <f>+'NATAGA-18'!E40</f>
        <v>8</v>
      </c>
      <c r="E18" s="23">
        <f>+'NATAGA-18'!F40</f>
        <v>4</v>
      </c>
      <c r="F18" s="23">
        <f>+'NATAGA-18'!G40</f>
        <v>0</v>
      </c>
      <c r="G18" s="23">
        <f>+'NATAGA-18'!H40</f>
        <v>0</v>
      </c>
      <c r="H18" s="23">
        <f>+'NATAGA-18'!I40</f>
        <v>3</v>
      </c>
      <c r="I18" s="23">
        <f>+'NATAGA-18'!J40</f>
        <v>1</v>
      </c>
      <c r="J18" s="23">
        <f>+'NATAGA-18'!K40</f>
        <v>2</v>
      </c>
      <c r="K18" s="23">
        <f>+'NATAGA-18'!L40</f>
        <v>0</v>
      </c>
      <c r="L18" s="23">
        <f>+'NATAGA-18'!M40</f>
        <v>0</v>
      </c>
      <c r="M18" s="23">
        <f>+'NATAGA-18'!N40</f>
        <v>3</v>
      </c>
      <c r="N18" s="23">
        <f>+'NATAGA-18'!O40</f>
        <v>2</v>
      </c>
      <c r="O18" s="24">
        <f>SUM(C18:N18)</f>
        <v>26</v>
      </c>
      <c r="V18" s="9"/>
      <c r="W18" s="10"/>
      <c r="X18" s="10"/>
    </row>
    <row r="19" spans="1:24" ht="12.75" customHeight="1" x14ac:dyDescent="0.25">
      <c r="A19" s="189"/>
      <c r="B19" s="39" t="s">
        <v>166</v>
      </c>
      <c r="C19" s="23">
        <f>+'05'!C18</f>
        <v>813</v>
      </c>
      <c r="D19" s="23">
        <f>+'05'!D18</f>
        <v>816</v>
      </c>
      <c r="E19" s="23">
        <f>+'05'!E18</f>
        <v>820</v>
      </c>
      <c r="F19" s="23">
        <f>+'05'!F18</f>
        <v>820</v>
      </c>
      <c r="G19" s="23">
        <f>+'05'!G18</f>
        <v>823</v>
      </c>
      <c r="H19" s="23">
        <f>+'05'!H18</f>
        <v>823</v>
      </c>
      <c r="I19" s="23">
        <f>+'05'!I18</f>
        <v>825</v>
      </c>
      <c r="J19" s="23">
        <f>+'05'!J18</f>
        <v>824</v>
      </c>
      <c r="K19" s="23">
        <f>+'05'!K18</f>
        <v>826</v>
      </c>
      <c r="L19" s="23">
        <f>+'05'!L18</f>
        <v>827</v>
      </c>
      <c r="M19" s="23">
        <f>+'05'!M18</f>
        <v>828</v>
      </c>
      <c r="N19" s="23">
        <f>+'05'!N18</f>
        <v>827</v>
      </c>
      <c r="O19" s="24">
        <f>SUM(C19:N19)</f>
        <v>9872</v>
      </c>
      <c r="V19" s="9"/>
      <c r="W19" s="10"/>
      <c r="X19" s="10"/>
    </row>
    <row r="20" spans="1:24" ht="12.75" customHeight="1" x14ac:dyDescent="0.25">
      <c r="A20" s="189"/>
      <c r="B20" s="13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19"/>
      <c r="V20" s="9"/>
      <c r="W20" s="10"/>
      <c r="X20" s="10"/>
    </row>
    <row r="21" spans="1:24" ht="13.5" customHeight="1" thickBot="1" x14ac:dyDescent="0.3">
      <c r="A21" s="190"/>
      <c r="B21" s="136" t="s">
        <v>3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20"/>
      <c r="V21" s="9"/>
      <c r="W21" s="10"/>
      <c r="X21" s="10"/>
    </row>
    <row r="22" spans="1:24" ht="14.25" customHeight="1" thickBot="1" x14ac:dyDescent="0.3">
      <c r="A22" s="191" t="s">
        <v>34</v>
      </c>
      <c r="B22" s="192"/>
      <c r="C22" s="193"/>
      <c r="D22" s="180" t="str">
        <f>'SET SP Nataga'!$G18</f>
        <v>Entre 0 y 10%</v>
      </c>
      <c r="E22" s="181"/>
      <c r="F22" s="181"/>
      <c r="G22" s="182"/>
      <c r="H22" s="180" t="str">
        <f>'SET SP Nataga'!$H18</f>
        <v>Entre 11% y el 20%</v>
      </c>
      <c r="I22" s="181"/>
      <c r="J22" s="181"/>
      <c r="K22" s="182"/>
      <c r="L22" s="180" t="str">
        <f>'SET SP Nataga'!$I18</f>
        <v>Mayor al 21%</v>
      </c>
      <c r="M22" s="185"/>
      <c r="N22" s="185"/>
      <c r="O22" s="186"/>
      <c r="V22" s="9"/>
      <c r="W22" s="10"/>
      <c r="X22" s="10"/>
    </row>
    <row r="23" spans="1:24" ht="33" customHeight="1" thickBot="1" x14ac:dyDescent="0.3">
      <c r="A23" s="194"/>
      <c r="B23" s="195"/>
      <c r="C23" s="195"/>
      <c r="D23" s="196" t="s">
        <v>7</v>
      </c>
      <c r="E23" s="196"/>
      <c r="F23" s="196"/>
      <c r="G23" s="196"/>
      <c r="H23" s="197" t="s">
        <v>61</v>
      </c>
      <c r="I23" s="197"/>
      <c r="J23" s="197"/>
      <c r="K23" s="197"/>
      <c r="L23" s="211" t="s">
        <v>62</v>
      </c>
      <c r="M23" s="211"/>
      <c r="N23" s="211"/>
      <c r="O23" s="212"/>
      <c r="V23" s="9"/>
      <c r="W23" s="10"/>
      <c r="X23" s="10"/>
    </row>
    <row r="24" spans="1:24" ht="15.75" customHeight="1" thickBot="1" x14ac:dyDescent="0.3">
      <c r="A24" s="213" t="s">
        <v>36</v>
      </c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5"/>
      <c r="V24" s="9"/>
      <c r="W24" s="10"/>
      <c r="X24" s="10"/>
    </row>
    <row r="25" spans="1:24" ht="264.75" customHeight="1" thickBot="1" x14ac:dyDescent="0.3">
      <c r="A25" s="177"/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9"/>
      <c r="V25" s="9"/>
    </row>
    <row r="26" spans="1:24" ht="15" customHeight="1" x14ac:dyDescent="0.25">
      <c r="A26" s="198" t="s">
        <v>58</v>
      </c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200" t="s">
        <v>60</v>
      </c>
      <c r="O26" s="201"/>
    </row>
    <row r="27" spans="1:24" ht="15" x14ac:dyDescent="0.25">
      <c r="A27" s="202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41">
        <v>43101</v>
      </c>
      <c r="O27" s="242"/>
    </row>
    <row r="28" spans="1:24" ht="15" x14ac:dyDescent="0.25">
      <c r="A28" s="202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41">
        <v>43132</v>
      </c>
      <c r="O28" s="242"/>
    </row>
    <row r="29" spans="1:24" ht="15" x14ac:dyDescent="0.25">
      <c r="A29" s="202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41">
        <v>43160</v>
      </c>
      <c r="O29" s="242"/>
    </row>
    <row r="30" spans="1:24" ht="15" x14ac:dyDescent="0.25">
      <c r="A30" s="202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41">
        <v>43191</v>
      </c>
      <c r="O30" s="242"/>
    </row>
    <row r="31" spans="1:24" ht="15" x14ac:dyDescent="0.25">
      <c r="A31" s="202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41">
        <v>43221</v>
      </c>
      <c r="O31" s="242"/>
    </row>
    <row r="32" spans="1:24" ht="15" x14ac:dyDescent="0.25">
      <c r="A32" s="202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41">
        <v>43252</v>
      </c>
      <c r="O32" s="242"/>
    </row>
    <row r="33" spans="1:17" ht="15" x14ac:dyDescent="0.25">
      <c r="A33" s="202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41">
        <v>43282</v>
      </c>
      <c r="O33" s="242"/>
    </row>
    <row r="34" spans="1:17" ht="15" x14ac:dyDescent="0.25">
      <c r="A34" s="202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41">
        <v>43313</v>
      </c>
      <c r="O34" s="242"/>
    </row>
    <row r="35" spans="1:17" ht="15" x14ac:dyDescent="0.25">
      <c r="A35" s="202"/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41">
        <v>43344</v>
      </c>
      <c r="O35" s="242"/>
    </row>
    <row r="36" spans="1:17" ht="15" x14ac:dyDescent="0.25">
      <c r="A36" s="202"/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41">
        <v>43374</v>
      </c>
      <c r="O36" s="242"/>
    </row>
    <row r="37" spans="1:17" ht="15" x14ac:dyDescent="0.25">
      <c r="A37" s="202"/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41">
        <v>43405</v>
      </c>
      <c r="O37" s="242"/>
    </row>
    <row r="38" spans="1:17" ht="15.75" thickBot="1" x14ac:dyDescent="0.3">
      <c r="A38" s="202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41">
        <v>43435</v>
      </c>
      <c r="O38" s="242"/>
    </row>
    <row r="39" spans="1:17" ht="19.5" customHeight="1" x14ac:dyDescent="0.25">
      <c r="A39" s="198" t="s">
        <v>59</v>
      </c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200" t="s">
        <v>60</v>
      </c>
      <c r="O39" s="201"/>
    </row>
    <row r="40" spans="1:17" ht="15" x14ac:dyDescent="0.25">
      <c r="A40" s="202" t="s">
        <v>3</v>
      </c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4" t="s">
        <v>3</v>
      </c>
      <c r="O40" s="205"/>
    </row>
    <row r="41" spans="1:17" ht="15.75" thickBot="1" x14ac:dyDescent="0.3">
      <c r="A41" s="273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5"/>
    </row>
    <row r="42" spans="1:17" ht="5.25" customHeight="1" x14ac:dyDescent="0.25">
      <c r="A42" s="176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</row>
    <row r="44" spans="1:17" ht="14.25" x14ac:dyDescent="0.2">
      <c r="Q44" s="48" t="s">
        <v>81</v>
      </c>
    </row>
    <row r="45" spans="1:17" ht="14.25" x14ac:dyDescent="0.2">
      <c r="Q45" s="48" t="s">
        <v>82</v>
      </c>
    </row>
    <row r="46" spans="1:17" ht="14.25" x14ac:dyDescent="0.2">
      <c r="Q46" s="48" t="s">
        <v>83</v>
      </c>
    </row>
    <row r="47" spans="1:17" ht="14.25" x14ac:dyDescent="0.2">
      <c r="Q47" s="48" t="s">
        <v>84</v>
      </c>
    </row>
    <row r="48" spans="1:17" ht="14.25" x14ac:dyDescent="0.2">
      <c r="Q48" s="48" t="s">
        <v>85</v>
      </c>
    </row>
    <row r="49" spans="17:17" ht="14.25" x14ac:dyDescent="0.2">
      <c r="Q49" s="48" t="s">
        <v>86</v>
      </c>
    </row>
    <row r="50" spans="17:17" ht="14.25" x14ac:dyDescent="0.2">
      <c r="Q50" s="48" t="s">
        <v>87</v>
      </c>
    </row>
    <row r="51" spans="17:17" ht="14.25" x14ac:dyDescent="0.2">
      <c r="Q51" s="48" t="s">
        <v>88</v>
      </c>
    </row>
    <row r="52" spans="17:17" ht="14.25" x14ac:dyDescent="0.2">
      <c r="Q52" s="48" t="s">
        <v>89</v>
      </c>
    </row>
    <row r="53" spans="17:17" ht="14.25" x14ac:dyDescent="0.2">
      <c r="Q53" s="48" t="s">
        <v>90</v>
      </c>
    </row>
    <row r="54" spans="17:17" ht="14.25" x14ac:dyDescent="0.2">
      <c r="Q54" s="48" t="s">
        <v>91</v>
      </c>
    </row>
    <row r="55" spans="17:17" ht="14.25" x14ac:dyDescent="0.2">
      <c r="Q55" s="48" t="s">
        <v>92</v>
      </c>
    </row>
    <row r="56" spans="17:17" ht="14.25" x14ac:dyDescent="0.2">
      <c r="Q56" s="48" t="s">
        <v>93</v>
      </c>
    </row>
    <row r="58" spans="17:17" x14ac:dyDescent="0.25">
      <c r="Q58" s="61" t="s">
        <v>173</v>
      </c>
    </row>
    <row r="59" spans="17:17" x14ac:dyDescent="0.25">
      <c r="Q59" s="61" t="s">
        <v>169</v>
      </c>
    </row>
  </sheetData>
  <sheetProtection algorithmName="SHA-512" hashValue="zywKl/PulKU0bKxvgbbT4ERE357pB45YKpI1fkHf7+GhCm/gtcq/HUXwncDmAlJXrPJ5mQIGt3MT6PXIEA+hZw==" saltValue="0OKVcbbLEkL0fQDQBwQocQ==" spinCount="100000" sheet="1" objects="1" scenarios="1"/>
  <mergeCells count="74">
    <mergeCell ref="N29:O29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A34:M34"/>
    <mergeCell ref="A35:M35"/>
    <mergeCell ref="A36:M36"/>
    <mergeCell ref="A37:M37"/>
    <mergeCell ref="A38:M38"/>
    <mergeCell ref="A29:M29"/>
    <mergeCell ref="A30:M30"/>
    <mergeCell ref="A31:M31"/>
    <mergeCell ref="A32:M32"/>
    <mergeCell ref="A33:M33"/>
    <mergeCell ref="A42:O42"/>
    <mergeCell ref="A39:M39"/>
    <mergeCell ref="N39:O39"/>
    <mergeCell ref="A40:M40"/>
    <mergeCell ref="N40:O40"/>
    <mergeCell ref="A41:M41"/>
    <mergeCell ref="N41:O41"/>
    <mergeCell ref="A26:M26"/>
    <mergeCell ref="N26:O26"/>
    <mergeCell ref="A27:M27"/>
    <mergeCell ref="N27:O27"/>
    <mergeCell ref="A28:M28"/>
    <mergeCell ref="N28:O28"/>
    <mergeCell ref="A25:O25"/>
    <mergeCell ref="A16:B16"/>
    <mergeCell ref="A17:B17"/>
    <mergeCell ref="A18:A21"/>
    <mergeCell ref="A22:C23"/>
    <mergeCell ref="D22:G22"/>
    <mergeCell ref="H22:K22"/>
    <mergeCell ref="L22:O22"/>
    <mergeCell ref="D23:G23"/>
    <mergeCell ref="H23:K23"/>
    <mergeCell ref="L23:O23"/>
    <mergeCell ref="A24:O24"/>
    <mergeCell ref="A15:B15"/>
    <mergeCell ref="L7:O7"/>
    <mergeCell ref="L8:M8"/>
    <mergeCell ref="N8:O8"/>
    <mergeCell ref="A9:D9"/>
    <mergeCell ref="F9:G9"/>
    <mergeCell ref="J9:O9"/>
    <mergeCell ref="A10:O10"/>
    <mergeCell ref="A11:O11"/>
    <mergeCell ref="A12:O12"/>
    <mergeCell ref="A13:O13"/>
    <mergeCell ref="A14:B14"/>
    <mergeCell ref="A5:E5"/>
    <mergeCell ref="F5:O5"/>
    <mergeCell ref="A6:E6"/>
    <mergeCell ref="G6:O6"/>
    <mergeCell ref="A7:D8"/>
    <mergeCell ref="E7:E8"/>
    <mergeCell ref="F7:G8"/>
    <mergeCell ref="H7:H8"/>
    <mergeCell ref="I7:I8"/>
    <mergeCell ref="J7:K8"/>
    <mergeCell ref="A4:E4"/>
    <mergeCell ref="F4:O4"/>
    <mergeCell ref="A1:C2"/>
    <mergeCell ref="D1:O1"/>
    <mergeCell ref="D2:O2"/>
    <mergeCell ref="A3:E3"/>
    <mergeCell ref="F3:O3"/>
  </mergeCells>
  <dataValidations count="1">
    <dataValidation type="list" allowBlank="1" showInputMessage="1" showErrorMessage="1" sqref="J9:O9">
      <formula1>$Q$44:$Q$56</formula1>
    </dataValidation>
  </dataValidations>
  <pageMargins left="0.39370078740157483" right="0.39370078740157483" top="0.35433070866141736" bottom="0.35433070866141736" header="0" footer="0"/>
  <pageSetup scale="73" orientation="portrait" horizontalDpi="4294967294" verticalDpi="4294967294" r:id="rId1"/>
  <headerFooter alignWithMargins="0">
    <oddFooter>&amp;R&amp;8Diseñado por: Wilson Andrade González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59"/>
  <sheetViews>
    <sheetView windowProtection="1" topLeftCell="A27" zoomScaleSheetLayoutView="72" workbookViewId="0">
      <selection activeCell="N27" sqref="N27:O38"/>
    </sheetView>
  </sheetViews>
  <sheetFormatPr baseColWidth="10" defaultRowHeight="12.75" x14ac:dyDescent="0.25"/>
  <cols>
    <col min="1" max="1" width="3.85546875" style="3" customWidth="1"/>
    <col min="2" max="2" width="26.85546875" style="3" customWidth="1"/>
    <col min="3" max="3" width="8.42578125" style="3" customWidth="1"/>
    <col min="4" max="11" width="7.7109375" style="3" customWidth="1"/>
    <col min="12" max="12" width="8.28515625" style="3" customWidth="1"/>
    <col min="13" max="15" width="7.7109375" style="3" customWidth="1"/>
    <col min="16" max="16" width="6.85546875" style="3" customWidth="1"/>
    <col min="17" max="18" width="6.85546875" style="3" hidden="1" customWidth="1"/>
    <col min="19" max="20" width="6.85546875" style="3" customWidth="1"/>
    <col min="21" max="21" width="9" style="3" customWidth="1"/>
    <col min="22" max="22" width="5.7109375" style="3" customWidth="1"/>
    <col min="23" max="23" width="10.42578125" style="3" customWidth="1"/>
    <col min="24" max="24" width="10" style="3" customWidth="1"/>
    <col min="25" max="257" width="11.42578125" style="3"/>
    <col min="258" max="258" width="26.85546875" style="3" customWidth="1"/>
    <col min="259" max="267" width="7.7109375" style="3" customWidth="1"/>
    <col min="268" max="268" width="8.28515625" style="3" customWidth="1"/>
    <col min="269" max="271" width="7.7109375" style="3" customWidth="1"/>
    <col min="272" max="513" width="11.42578125" style="3"/>
    <col min="514" max="514" width="26.85546875" style="3" customWidth="1"/>
    <col min="515" max="523" width="7.7109375" style="3" customWidth="1"/>
    <col min="524" max="524" width="8.28515625" style="3" customWidth="1"/>
    <col min="525" max="527" width="7.7109375" style="3" customWidth="1"/>
    <col min="528" max="769" width="11.42578125" style="3"/>
    <col min="770" max="770" width="26.85546875" style="3" customWidth="1"/>
    <col min="771" max="779" width="7.7109375" style="3" customWidth="1"/>
    <col min="780" max="780" width="8.28515625" style="3" customWidth="1"/>
    <col min="781" max="783" width="7.7109375" style="3" customWidth="1"/>
    <col min="784" max="1025" width="11.42578125" style="3"/>
    <col min="1026" max="1026" width="26.85546875" style="3" customWidth="1"/>
    <col min="1027" max="1035" width="7.7109375" style="3" customWidth="1"/>
    <col min="1036" max="1036" width="8.28515625" style="3" customWidth="1"/>
    <col min="1037" max="1039" width="7.7109375" style="3" customWidth="1"/>
    <col min="1040" max="1281" width="11.42578125" style="3"/>
    <col min="1282" max="1282" width="26.85546875" style="3" customWidth="1"/>
    <col min="1283" max="1291" width="7.7109375" style="3" customWidth="1"/>
    <col min="1292" max="1292" width="8.28515625" style="3" customWidth="1"/>
    <col min="1293" max="1295" width="7.7109375" style="3" customWidth="1"/>
    <col min="1296" max="1537" width="11.42578125" style="3"/>
    <col min="1538" max="1538" width="26.85546875" style="3" customWidth="1"/>
    <col min="1539" max="1547" width="7.7109375" style="3" customWidth="1"/>
    <col min="1548" max="1548" width="8.28515625" style="3" customWidth="1"/>
    <col min="1549" max="1551" width="7.7109375" style="3" customWidth="1"/>
    <col min="1552" max="1793" width="11.42578125" style="3"/>
    <col min="1794" max="1794" width="26.85546875" style="3" customWidth="1"/>
    <col min="1795" max="1803" width="7.7109375" style="3" customWidth="1"/>
    <col min="1804" max="1804" width="8.28515625" style="3" customWidth="1"/>
    <col min="1805" max="1807" width="7.7109375" style="3" customWidth="1"/>
    <col min="1808" max="2049" width="11.42578125" style="3"/>
    <col min="2050" max="2050" width="26.85546875" style="3" customWidth="1"/>
    <col min="2051" max="2059" width="7.7109375" style="3" customWidth="1"/>
    <col min="2060" max="2060" width="8.28515625" style="3" customWidth="1"/>
    <col min="2061" max="2063" width="7.7109375" style="3" customWidth="1"/>
    <col min="2064" max="2305" width="11.42578125" style="3"/>
    <col min="2306" max="2306" width="26.85546875" style="3" customWidth="1"/>
    <col min="2307" max="2315" width="7.7109375" style="3" customWidth="1"/>
    <col min="2316" max="2316" width="8.28515625" style="3" customWidth="1"/>
    <col min="2317" max="2319" width="7.7109375" style="3" customWidth="1"/>
    <col min="2320" max="2561" width="11.42578125" style="3"/>
    <col min="2562" max="2562" width="26.85546875" style="3" customWidth="1"/>
    <col min="2563" max="2571" width="7.7109375" style="3" customWidth="1"/>
    <col min="2572" max="2572" width="8.28515625" style="3" customWidth="1"/>
    <col min="2573" max="2575" width="7.7109375" style="3" customWidth="1"/>
    <col min="2576" max="2817" width="11.42578125" style="3"/>
    <col min="2818" max="2818" width="26.85546875" style="3" customWidth="1"/>
    <col min="2819" max="2827" width="7.7109375" style="3" customWidth="1"/>
    <col min="2828" max="2828" width="8.28515625" style="3" customWidth="1"/>
    <col min="2829" max="2831" width="7.7109375" style="3" customWidth="1"/>
    <col min="2832" max="3073" width="11.42578125" style="3"/>
    <col min="3074" max="3074" width="26.85546875" style="3" customWidth="1"/>
    <col min="3075" max="3083" width="7.7109375" style="3" customWidth="1"/>
    <col min="3084" max="3084" width="8.28515625" style="3" customWidth="1"/>
    <col min="3085" max="3087" width="7.7109375" style="3" customWidth="1"/>
    <col min="3088" max="3329" width="11.42578125" style="3"/>
    <col min="3330" max="3330" width="26.85546875" style="3" customWidth="1"/>
    <col min="3331" max="3339" width="7.7109375" style="3" customWidth="1"/>
    <col min="3340" max="3340" width="8.28515625" style="3" customWidth="1"/>
    <col min="3341" max="3343" width="7.7109375" style="3" customWidth="1"/>
    <col min="3344" max="3585" width="11.42578125" style="3"/>
    <col min="3586" max="3586" width="26.85546875" style="3" customWidth="1"/>
    <col min="3587" max="3595" width="7.7109375" style="3" customWidth="1"/>
    <col min="3596" max="3596" width="8.28515625" style="3" customWidth="1"/>
    <col min="3597" max="3599" width="7.7109375" style="3" customWidth="1"/>
    <col min="3600" max="3841" width="11.42578125" style="3"/>
    <col min="3842" max="3842" width="26.85546875" style="3" customWidth="1"/>
    <col min="3843" max="3851" width="7.7109375" style="3" customWidth="1"/>
    <col min="3852" max="3852" width="8.28515625" style="3" customWidth="1"/>
    <col min="3853" max="3855" width="7.7109375" style="3" customWidth="1"/>
    <col min="3856" max="4097" width="11.42578125" style="3"/>
    <col min="4098" max="4098" width="26.85546875" style="3" customWidth="1"/>
    <col min="4099" max="4107" width="7.7109375" style="3" customWidth="1"/>
    <col min="4108" max="4108" width="8.28515625" style="3" customWidth="1"/>
    <col min="4109" max="4111" width="7.7109375" style="3" customWidth="1"/>
    <col min="4112" max="4353" width="11.42578125" style="3"/>
    <col min="4354" max="4354" width="26.85546875" style="3" customWidth="1"/>
    <col min="4355" max="4363" width="7.7109375" style="3" customWidth="1"/>
    <col min="4364" max="4364" width="8.28515625" style="3" customWidth="1"/>
    <col min="4365" max="4367" width="7.7109375" style="3" customWidth="1"/>
    <col min="4368" max="4609" width="11.42578125" style="3"/>
    <col min="4610" max="4610" width="26.85546875" style="3" customWidth="1"/>
    <col min="4611" max="4619" width="7.7109375" style="3" customWidth="1"/>
    <col min="4620" max="4620" width="8.28515625" style="3" customWidth="1"/>
    <col min="4621" max="4623" width="7.7109375" style="3" customWidth="1"/>
    <col min="4624" max="4865" width="11.42578125" style="3"/>
    <col min="4866" max="4866" width="26.85546875" style="3" customWidth="1"/>
    <col min="4867" max="4875" width="7.7109375" style="3" customWidth="1"/>
    <col min="4876" max="4876" width="8.28515625" style="3" customWidth="1"/>
    <col min="4877" max="4879" width="7.7109375" style="3" customWidth="1"/>
    <col min="4880" max="5121" width="11.42578125" style="3"/>
    <col min="5122" max="5122" width="26.85546875" style="3" customWidth="1"/>
    <col min="5123" max="5131" width="7.7109375" style="3" customWidth="1"/>
    <col min="5132" max="5132" width="8.28515625" style="3" customWidth="1"/>
    <col min="5133" max="5135" width="7.7109375" style="3" customWidth="1"/>
    <col min="5136" max="5377" width="11.42578125" style="3"/>
    <col min="5378" max="5378" width="26.85546875" style="3" customWidth="1"/>
    <col min="5379" max="5387" width="7.7109375" style="3" customWidth="1"/>
    <col min="5388" max="5388" width="8.28515625" style="3" customWidth="1"/>
    <col min="5389" max="5391" width="7.7109375" style="3" customWidth="1"/>
    <col min="5392" max="5633" width="11.42578125" style="3"/>
    <col min="5634" max="5634" width="26.85546875" style="3" customWidth="1"/>
    <col min="5635" max="5643" width="7.7109375" style="3" customWidth="1"/>
    <col min="5644" max="5644" width="8.28515625" style="3" customWidth="1"/>
    <col min="5645" max="5647" width="7.7109375" style="3" customWidth="1"/>
    <col min="5648" max="5889" width="11.42578125" style="3"/>
    <col min="5890" max="5890" width="26.85546875" style="3" customWidth="1"/>
    <col min="5891" max="5899" width="7.7109375" style="3" customWidth="1"/>
    <col min="5900" max="5900" width="8.28515625" style="3" customWidth="1"/>
    <col min="5901" max="5903" width="7.7109375" style="3" customWidth="1"/>
    <col min="5904" max="6145" width="11.42578125" style="3"/>
    <col min="6146" max="6146" width="26.85546875" style="3" customWidth="1"/>
    <col min="6147" max="6155" width="7.7109375" style="3" customWidth="1"/>
    <col min="6156" max="6156" width="8.28515625" style="3" customWidth="1"/>
    <col min="6157" max="6159" width="7.7109375" style="3" customWidth="1"/>
    <col min="6160" max="6401" width="11.42578125" style="3"/>
    <col min="6402" max="6402" width="26.85546875" style="3" customWidth="1"/>
    <col min="6403" max="6411" width="7.7109375" style="3" customWidth="1"/>
    <col min="6412" max="6412" width="8.28515625" style="3" customWidth="1"/>
    <col min="6413" max="6415" width="7.7109375" style="3" customWidth="1"/>
    <col min="6416" max="6657" width="11.42578125" style="3"/>
    <col min="6658" max="6658" width="26.85546875" style="3" customWidth="1"/>
    <col min="6659" max="6667" width="7.7109375" style="3" customWidth="1"/>
    <col min="6668" max="6668" width="8.28515625" style="3" customWidth="1"/>
    <col min="6669" max="6671" width="7.7109375" style="3" customWidth="1"/>
    <col min="6672" max="6913" width="11.42578125" style="3"/>
    <col min="6914" max="6914" width="26.85546875" style="3" customWidth="1"/>
    <col min="6915" max="6923" width="7.7109375" style="3" customWidth="1"/>
    <col min="6924" max="6924" width="8.28515625" style="3" customWidth="1"/>
    <col min="6925" max="6927" width="7.7109375" style="3" customWidth="1"/>
    <col min="6928" max="7169" width="11.42578125" style="3"/>
    <col min="7170" max="7170" width="26.85546875" style="3" customWidth="1"/>
    <col min="7171" max="7179" width="7.7109375" style="3" customWidth="1"/>
    <col min="7180" max="7180" width="8.28515625" style="3" customWidth="1"/>
    <col min="7181" max="7183" width="7.7109375" style="3" customWidth="1"/>
    <col min="7184" max="7425" width="11.42578125" style="3"/>
    <col min="7426" max="7426" width="26.85546875" style="3" customWidth="1"/>
    <col min="7427" max="7435" width="7.7109375" style="3" customWidth="1"/>
    <col min="7436" max="7436" width="8.28515625" style="3" customWidth="1"/>
    <col min="7437" max="7439" width="7.7109375" style="3" customWidth="1"/>
    <col min="7440" max="7681" width="11.42578125" style="3"/>
    <col min="7682" max="7682" width="26.85546875" style="3" customWidth="1"/>
    <col min="7683" max="7691" width="7.7109375" style="3" customWidth="1"/>
    <col min="7692" max="7692" width="8.28515625" style="3" customWidth="1"/>
    <col min="7693" max="7695" width="7.7109375" style="3" customWidth="1"/>
    <col min="7696" max="7937" width="11.42578125" style="3"/>
    <col min="7938" max="7938" width="26.85546875" style="3" customWidth="1"/>
    <col min="7939" max="7947" width="7.7109375" style="3" customWidth="1"/>
    <col min="7948" max="7948" width="8.28515625" style="3" customWidth="1"/>
    <col min="7949" max="7951" width="7.7109375" style="3" customWidth="1"/>
    <col min="7952" max="8193" width="11.42578125" style="3"/>
    <col min="8194" max="8194" width="26.85546875" style="3" customWidth="1"/>
    <col min="8195" max="8203" width="7.7109375" style="3" customWidth="1"/>
    <col min="8204" max="8204" width="8.28515625" style="3" customWidth="1"/>
    <col min="8205" max="8207" width="7.7109375" style="3" customWidth="1"/>
    <col min="8208" max="8449" width="11.42578125" style="3"/>
    <col min="8450" max="8450" width="26.85546875" style="3" customWidth="1"/>
    <col min="8451" max="8459" width="7.7109375" style="3" customWidth="1"/>
    <col min="8460" max="8460" width="8.28515625" style="3" customWidth="1"/>
    <col min="8461" max="8463" width="7.7109375" style="3" customWidth="1"/>
    <col min="8464" max="8705" width="11.42578125" style="3"/>
    <col min="8706" max="8706" width="26.85546875" style="3" customWidth="1"/>
    <col min="8707" max="8715" width="7.7109375" style="3" customWidth="1"/>
    <col min="8716" max="8716" width="8.28515625" style="3" customWidth="1"/>
    <col min="8717" max="8719" width="7.7109375" style="3" customWidth="1"/>
    <col min="8720" max="8961" width="11.42578125" style="3"/>
    <col min="8962" max="8962" width="26.85546875" style="3" customWidth="1"/>
    <col min="8963" max="8971" width="7.7109375" style="3" customWidth="1"/>
    <col min="8972" max="8972" width="8.28515625" style="3" customWidth="1"/>
    <col min="8973" max="8975" width="7.7109375" style="3" customWidth="1"/>
    <col min="8976" max="9217" width="11.42578125" style="3"/>
    <col min="9218" max="9218" width="26.85546875" style="3" customWidth="1"/>
    <col min="9219" max="9227" width="7.7109375" style="3" customWidth="1"/>
    <col min="9228" max="9228" width="8.28515625" style="3" customWidth="1"/>
    <col min="9229" max="9231" width="7.7109375" style="3" customWidth="1"/>
    <col min="9232" max="9473" width="11.42578125" style="3"/>
    <col min="9474" max="9474" width="26.85546875" style="3" customWidth="1"/>
    <col min="9475" max="9483" width="7.7109375" style="3" customWidth="1"/>
    <col min="9484" max="9484" width="8.28515625" style="3" customWidth="1"/>
    <col min="9485" max="9487" width="7.7109375" style="3" customWidth="1"/>
    <col min="9488" max="9729" width="11.42578125" style="3"/>
    <col min="9730" max="9730" width="26.85546875" style="3" customWidth="1"/>
    <col min="9731" max="9739" width="7.7109375" style="3" customWidth="1"/>
    <col min="9740" max="9740" width="8.28515625" style="3" customWidth="1"/>
    <col min="9741" max="9743" width="7.7109375" style="3" customWidth="1"/>
    <col min="9744" max="9985" width="11.42578125" style="3"/>
    <col min="9986" max="9986" width="26.85546875" style="3" customWidth="1"/>
    <col min="9987" max="9995" width="7.7109375" style="3" customWidth="1"/>
    <col min="9996" max="9996" width="8.28515625" style="3" customWidth="1"/>
    <col min="9997" max="9999" width="7.7109375" style="3" customWidth="1"/>
    <col min="10000" max="10241" width="11.42578125" style="3"/>
    <col min="10242" max="10242" width="26.85546875" style="3" customWidth="1"/>
    <col min="10243" max="10251" width="7.7109375" style="3" customWidth="1"/>
    <col min="10252" max="10252" width="8.28515625" style="3" customWidth="1"/>
    <col min="10253" max="10255" width="7.7109375" style="3" customWidth="1"/>
    <col min="10256" max="10497" width="11.42578125" style="3"/>
    <col min="10498" max="10498" width="26.85546875" style="3" customWidth="1"/>
    <col min="10499" max="10507" width="7.7109375" style="3" customWidth="1"/>
    <col min="10508" max="10508" width="8.28515625" style="3" customWidth="1"/>
    <col min="10509" max="10511" width="7.7109375" style="3" customWidth="1"/>
    <col min="10512" max="10753" width="11.42578125" style="3"/>
    <col min="10754" max="10754" width="26.85546875" style="3" customWidth="1"/>
    <col min="10755" max="10763" width="7.7109375" style="3" customWidth="1"/>
    <col min="10764" max="10764" width="8.28515625" style="3" customWidth="1"/>
    <col min="10765" max="10767" width="7.7109375" style="3" customWidth="1"/>
    <col min="10768" max="11009" width="11.42578125" style="3"/>
    <col min="11010" max="11010" width="26.85546875" style="3" customWidth="1"/>
    <col min="11011" max="11019" width="7.7109375" style="3" customWidth="1"/>
    <col min="11020" max="11020" width="8.28515625" style="3" customWidth="1"/>
    <col min="11021" max="11023" width="7.7109375" style="3" customWidth="1"/>
    <col min="11024" max="11265" width="11.42578125" style="3"/>
    <col min="11266" max="11266" width="26.85546875" style="3" customWidth="1"/>
    <col min="11267" max="11275" width="7.7109375" style="3" customWidth="1"/>
    <col min="11276" max="11276" width="8.28515625" style="3" customWidth="1"/>
    <col min="11277" max="11279" width="7.7109375" style="3" customWidth="1"/>
    <col min="11280" max="11521" width="11.42578125" style="3"/>
    <col min="11522" max="11522" width="26.85546875" style="3" customWidth="1"/>
    <col min="11523" max="11531" width="7.7109375" style="3" customWidth="1"/>
    <col min="11532" max="11532" width="8.28515625" style="3" customWidth="1"/>
    <col min="11533" max="11535" width="7.7109375" style="3" customWidth="1"/>
    <col min="11536" max="11777" width="11.42578125" style="3"/>
    <col min="11778" max="11778" width="26.85546875" style="3" customWidth="1"/>
    <col min="11779" max="11787" width="7.7109375" style="3" customWidth="1"/>
    <col min="11788" max="11788" width="8.28515625" style="3" customWidth="1"/>
    <col min="11789" max="11791" width="7.7109375" style="3" customWidth="1"/>
    <col min="11792" max="12033" width="11.42578125" style="3"/>
    <col min="12034" max="12034" width="26.85546875" style="3" customWidth="1"/>
    <col min="12035" max="12043" width="7.7109375" style="3" customWidth="1"/>
    <col min="12044" max="12044" width="8.28515625" style="3" customWidth="1"/>
    <col min="12045" max="12047" width="7.7109375" style="3" customWidth="1"/>
    <col min="12048" max="12289" width="11.42578125" style="3"/>
    <col min="12290" max="12290" width="26.85546875" style="3" customWidth="1"/>
    <col min="12291" max="12299" width="7.7109375" style="3" customWidth="1"/>
    <col min="12300" max="12300" width="8.28515625" style="3" customWidth="1"/>
    <col min="12301" max="12303" width="7.7109375" style="3" customWidth="1"/>
    <col min="12304" max="12545" width="11.42578125" style="3"/>
    <col min="12546" max="12546" width="26.85546875" style="3" customWidth="1"/>
    <col min="12547" max="12555" width="7.7109375" style="3" customWidth="1"/>
    <col min="12556" max="12556" width="8.28515625" style="3" customWidth="1"/>
    <col min="12557" max="12559" width="7.7109375" style="3" customWidth="1"/>
    <col min="12560" max="12801" width="11.42578125" style="3"/>
    <col min="12802" max="12802" width="26.85546875" style="3" customWidth="1"/>
    <col min="12803" max="12811" width="7.7109375" style="3" customWidth="1"/>
    <col min="12812" max="12812" width="8.28515625" style="3" customWidth="1"/>
    <col min="12813" max="12815" width="7.7109375" style="3" customWidth="1"/>
    <col min="12816" max="13057" width="11.42578125" style="3"/>
    <col min="13058" max="13058" width="26.85546875" style="3" customWidth="1"/>
    <col min="13059" max="13067" width="7.7109375" style="3" customWidth="1"/>
    <col min="13068" max="13068" width="8.28515625" style="3" customWidth="1"/>
    <col min="13069" max="13071" width="7.7109375" style="3" customWidth="1"/>
    <col min="13072" max="13313" width="11.42578125" style="3"/>
    <col min="13314" max="13314" width="26.85546875" style="3" customWidth="1"/>
    <col min="13315" max="13323" width="7.7109375" style="3" customWidth="1"/>
    <col min="13324" max="13324" width="8.28515625" style="3" customWidth="1"/>
    <col min="13325" max="13327" width="7.7109375" style="3" customWidth="1"/>
    <col min="13328" max="13569" width="11.42578125" style="3"/>
    <col min="13570" max="13570" width="26.85546875" style="3" customWidth="1"/>
    <col min="13571" max="13579" width="7.7109375" style="3" customWidth="1"/>
    <col min="13580" max="13580" width="8.28515625" style="3" customWidth="1"/>
    <col min="13581" max="13583" width="7.7109375" style="3" customWidth="1"/>
    <col min="13584" max="13825" width="11.42578125" style="3"/>
    <col min="13826" max="13826" width="26.85546875" style="3" customWidth="1"/>
    <col min="13827" max="13835" width="7.7109375" style="3" customWidth="1"/>
    <col min="13836" max="13836" width="8.28515625" style="3" customWidth="1"/>
    <col min="13837" max="13839" width="7.7109375" style="3" customWidth="1"/>
    <col min="13840" max="14081" width="11.42578125" style="3"/>
    <col min="14082" max="14082" width="26.85546875" style="3" customWidth="1"/>
    <col min="14083" max="14091" width="7.7109375" style="3" customWidth="1"/>
    <col min="14092" max="14092" width="8.28515625" style="3" customWidth="1"/>
    <col min="14093" max="14095" width="7.7109375" style="3" customWidth="1"/>
    <col min="14096" max="14337" width="11.42578125" style="3"/>
    <col min="14338" max="14338" width="26.85546875" style="3" customWidth="1"/>
    <col min="14339" max="14347" width="7.7109375" style="3" customWidth="1"/>
    <col min="14348" max="14348" width="8.28515625" style="3" customWidth="1"/>
    <col min="14349" max="14351" width="7.7109375" style="3" customWidth="1"/>
    <col min="14352" max="14593" width="11.42578125" style="3"/>
    <col min="14594" max="14594" width="26.85546875" style="3" customWidth="1"/>
    <col min="14595" max="14603" width="7.7109375" style="3" customWidth="1"/>
    <col min="14604" max="14604" width="8.28515625" style="3" customWidth="1"/>
    <col min="14605" max="14607" width="7.7109375" style="3" customWidth="1"/>
    <col min="14608" max="14849" width="11.42578125" style="3"/>
    <col min="14850" max="14850" width="26.85546875" style="3" customWidth="1"/>
    <col min="14851" max="14859" width="7.7109375" style="3" customWidth="1"/>
    <col min="14860" max="14860" width="8.28515625" style="3" customWidth="1"/>
    <col min="14861" max="14863" width="7.7109375" style="3" customWidth="1"/>
    <col min="14864" max="15105" width="11.42578125" style="3"/>
    <col min="15106" max="15106" width="26.85546875" style="3" customWidth="1"/>
    <col min="15107" max="15115" width="7.7109375" style="3" customWidth="1"/>
    <col min="15116" max="15116" width="8.28515625" style="3" customWidth="1"/>
    <col min="15117" max="15119" width="7.7109375" style="3" customWidth="1"/>
    <col min="15120" max="15361" width="11.42578125" style="3"/>
    <col min="15362" max="15362" width="26.85546875" style="3" customWidth="1"/>
    <col min="15363" max="15371" width="7.7109375" style="3" customWidth="1"/>
    <col min="15372" max="15372" width="8.28515625" style="3" customWidth="1"/>
    <col min="15373" max="15375" width="7.7109375" style="3" customWidth="1"/>
    <col min="15376" max="15617" width="11.42578125" style="3"/>
    <col min="15618" max="15618" width="26.85546875" style="3" customWidth="1"/>
    <col min="15619" max="15627" width="7.7109375" style="3" customWidth="1"/>
    <col min="15628" max="15628" width="8.28515625" style="3" customWidth="1"/>
    <col min="15629" max="15631" width="7.7109375" style="3" customWidth="1"/>
    <col min="15632" max="15873" width="11.42578125" style="3"/>
    <col min="15874" max="15874" width="26.85546875" style="3" customWidth="1"/>
    <col min="15875" max="15883" width="7.7109375" style="3" customWidth="1"/>
    <col min="15884" max="15884" width="8.28515625" style="3" customWidth="1"/>
    <col min="15885" max="15887" width="7.7109375" style="3" customWidth="1"/>
    <col min="15888" max="16129" width="11.42578125" style="3"/>
    <col min="16130" max="16130" width="26.85546875" style="3" customWidth="1"/>
    <col min="16131" max="16139" width="7.7109375" style="3" customWidth="1"/>
    <col min="16140" max="16140" width="8.28515625" style="3" customWidth="1"/>
    <col min="16141" max="16143" width="7.7109375" style="3" customWidth="1"/>
    <col min="16144" max="16384" width="11.42578125" style="3"/>
  </cols>
  <sheetData>
    <row r="1" spans="1:24" ht="20.25" customHeight="1" x14ac:dyDescent="0.25">
      <c r="A1" s="247"/>
      <c r="B1" s="248"/>
      <c r="C1" s="249"/>
      <c r="D1" s="243" t="s">
        <v>20</v>
      </c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4"/>
    </row>
    <row r="2" spans="1:24" ht="15.75" customHeight="1" thickBot="1" x14ac:dyDescent="0.3">
      <c r="A2" s="250"/>
      <c r="B2" s="251"/>
      <c r="C2" s="252"/>
      <c r="D2" s="245" t="s">
        <v>67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6"/>
    </row>
    <row r="3" spans="1:24" ht="13.5" customHeight="1" x14ac:dyDescent="0.25">
      <c r="A3" s="253" t="s">
        <v>0</v>
      </c>
      <c r="B3" s="254"/>
      <c r="C3" s="254"/>
      <c r="D3" s="254"/>
      <c r="E3" s="254"/>
      <c r="F3" s="254" t="str">
        <f>'SET SP Nataga'!J3</f>
        <v>GESTIÓN DE SERVICIOS PÚBLICOS - NATAGA</v>
      </c>
      <c r="G3" s="254"/>
      <c r="H3" s="254"/>
      <c r="I3" s="254"/>
      <c r="J3" s="254"/>
      <c r="K3" s="254"/>
      <c r="L3" s="254"/>
      <c r="M3" s="254"/>
      <c r="N3" s="254"/>
      <c r="O3" s="255"/>
    </row>
    <row r="4" spans="1:24" ht="15.75" customHeight="1" x14ac:dyDescent="0.25">
      <c r="A4" s="235" t="s">
        <v>1</v>
      </c>
      <c r="B4" s="236"/>
      <c r="C4" s="236"/>
      <c r="D4" s="236"/>
      <c r="E4" s="236"/>
      <c r="F4" s="256" t="str">
        <f>'SET SP Nataga'!$B19</f>
        <v>Disposición en Relleno Sanitario</v>
      </c>
      <c r="G4" s="256"/>
      <c r="H4" s="256"/>
      <c r="I4" s="256"/>
      <c r="J4" s="256"/>
      <c r="K4" s="256"/>
      <c r="L4" s="256"/>
      <c r="M4" s="256"/>
      <c r="N4" s="256"/>
      <c r="O4" s="277"/>
    </row>
    <row r="5" spans="1:24" ht="15.75" customHeight="1" x14ac:dyDescent="0.25">
      <c r="A5" s="235" t="s">
        <v>55</v>
      </c>
      <c r="B5" s="236"/>
      <c r="C5" s="236"/>
      <c r="D5" s="236"/>
      <c r="E5" s="236"/>
      <c r="F5" s="238" t="str">
        <f>'SET SP Nataga'!F19</f>
        <v xml:space="preserve">Eficiencia </v>
      </c>
      <c r="G5" s="239"/>
      <c r="H5" s="239"/>
      <c r="I5" s="239"/>
      <c r="J5" s="239"/>
      <c r="K5" s="239"/>
      <c r="L5" s="239"/>
      <c r="M5" s="239"/>
      <c r="N5" s="239"/>
      <c r="O5" s="240"/>
    </row>
    <row r="6" spans="1:24" ht="17.25" customHeight="1" thickBot="1" x14ac:dyDescent="0.3">
      <c r="A6" s="259" t="s">
        <v>21</v>
      </c>
      <c r="B6" s="260"/>
      <c r="C6" s="260"/>
      <c r="D6" s="260"/>
      <c r="E6" s="260"/>
      <c r="F6" s="26" t="s">
        <v>94</v>
      </c>
      <c r="G6" s="261" t="str">
        <f>'SET SP Nataga'!A19</f>
        <v>IN14</v>
      </c>
      <c r="H6" s="261"/>
      <c r="I6" s="261"/>
      <c r="J6" s="261"/>
      <c r="K6" s="261"/>
      <c r="L6" s="261"/>
      <c r="M6" s="261"/>
      <c r="N6" s="261"/>
      <c r="O6" s="276"/>
    </row>
    <row r="7" spans="1:24" ht="12.75" customHeight="1" x14ac:dyDescent="0.25">
      <c r="A7" s="264" t="s">
        <v>22</v>
      </c>
      <c r="B7" s="265"/>
      <c r="C7" s="265"/>
      <c r="D7" s="265"/>
      <c r="E7" s="230" t="s">
        <v>23</v>
      </c>
      <c r="F7" s="230" t="s">
        <v>24</v>
      </c>
      <c r="G7" s="230"/>
      <c r="H7" s="230" t="s">
        <v>25</v>
      </c>
      <c r="I7" s="230" t="s">
        <v>26</v>
      </c>
      <c r="J7" s="230" t="s">
        <v>27</v>
      </c>
      <c r="K7" s="230"/>
      <c r="L7" s="232" t="s">
        <v>28</v>
      </c>
      <c r="M7" s="232"/>
      <c r="N7" s="232"/>
      <c r="O7" s="233"/>
    </row>
    <row r="8" spans="1:24" ht="46.5" customHeight="1" x14ac:dyDescent="0.25">
      <c r="A8" s="266"/>
      <c r="B8" s="234"/>
      <c r="C8" s="234"/>
      <c r="D8" s="234"/>
      <c r="E8" s="231"/>
      <c r="F8" s="231"/>
      <c r="G8" s="231"/>
      <c r="H8" s="231"/>
      <c r="I8" s="231"/>
      <c r="J8" s="231"/>
      <c r="K8" s="231"/>
      <c r="L8" s="234" t="s">
        <v>29</v>
      </c>
      <c r="M8" s="234"/>
      <c r="N8" s="234" t="s">
        <v>30</v>
      </c>
      <c r="O8" s="237"/>
    </row>
    <row r="9" spans="1:24" ht="57" customHeight="1" thickBot="1" x14ac:dyDescent="0.3">
      <c r="A9" s="206" t="str">
        <f>'SET SP Nataga'!$C19</f>
        <v>Disponer la totalidad de los residuos solidos recolectados en el sitio de disposición final.</v>
      </c>
      <c r="B9" s="207"/>
      <c r="C9" s="207"/>
      <c r="D9" s="207"/>
      <c r="E9" s="17" t="s">
        <v>35</v>
      </c>
      <c r="F9" s="288" t="str">
        <f>'SET SP Nataga'!$D19</f>
        <v>(Residuos sólidos en relleno sanitario / Residuos sólidos producidos)     x 100    %</v>
      </c>
      <c r="G9" s="290"/>
      <c r="H9" s="14">
        <f>$O16</f>
        <v>0</v>
      </c>
      <c r="I9" s="36" t="str">
        <f>'SET SP Nataga'!$E19</f>
        <v>Trimestral</v>
      </c>
      <c r="J9" s="208" t="s">
        <v>89</v>
      </c>
      <c r="K9" s="209"/>
      <c r="L9" s="209"/>
      <c r="M9" s="209"/>
      <c r="N9" s="209"/>
      <c r="O9" s="210"/>
    </row>
    <row r="10" spans="1:24" ht="13.5" customHeight="1" x14ac:dyDescent="0.25">
      <c r="A10" s="216" t="s">
        <v>38</v>
      </c>
      <c r="B10" s="217"/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8"/>
    </row>
    <row r="11" spans="1:24" ht="21.75" customHeight="1" thickBot="1" x14ac:dyDescent="0.3">
      <c r="A11" s="219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1"/>
    </row>
    <row r="12" spans="1:24" ht="15" customHeight="1" thickBot="1" x14ac:dyDescent="0.3">
      <c r="A12" s="222" t="s">
        <v>31</v>
      </c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4"/>
      <c r="V12" s="9"/>
      <c r="W12" s="37"/>
      <c r="X12" s="37"/>
    </row>
    <row r="13" spans="1:24" ht="16.5" customHeight="1" x14ac:dyDescent="0.25">
      <c r="A13" s="225" t="s">
        <v>273</v>
      </c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7"/>
      <c r="V13" s="9"/>
      <c r="W13" s="10"/>
      <c r="X13" s="10"/>
    </row>
    <row r="14" spans="1:24" ht="16.5" customHeight="1" x14ac:dyDescent="0.25">
      <c r="A14" s="228" t="s">
        <v>32</v>
      </c>
      <c r="B14" s="229"/>
      <c r="C14" s="135" t="s">
        <v>8</v>
      </c>
      <c r="D14" s="135" t="s">
        <v>9</v>
      </c>
      <c r="E14" s="135" t="s">
        <v>10</v>
      </c>
      <c r="F14" s="135" t="s">
        <v>11</v>
      </c>
      <c r="G14" s="135" t="s">
        <v>12</v>
      </c>
      <c r="H14" s="135" t="s">
        <v>13</v>
      </c>
      <c r="I14" s="135" t="s">
        <v>14</v>
      </c>
      <c r="J14" s="135" t="s">
        <v>15</v>
      </c>
      <c r="K14" s="135" t="s">
        <v>16</v>
      </c>
      <c r="L14" s="135" t="s">
        <v>17</v>
      </c>
      <c r="M14" s="135" t="s">
        <v>18</v>
      </c>
      <c r="N14" s="135" t="s">
        <v>19</v>
      </c>
      <c r="O14" s="6" t="s">
        <v>33</v>
      </c>
      <c r="V14" s="9"/>
      <c r="W14" s="10"/>
      <c r="X14" s="10"/>
    </row>
    <row r="15" spans="1:24" ht="16.5" customHeight="1" x14ac:dyDescent="0.25">
      <c r="A15" s="183" t="s">
        <v>39</v>
      </c>
      <c r="B15" s="184"/>
      <c r="C15" s="137">
        <f t="shared" ref="C15:N15" si="0">$O$15</f>
        <v>0</v>
      </c>
      <c r="D15" s="137">
        <f t="shared" si="0"/>
        <v>0</v>
      </c>
      <c r="E15" s="137">
        <f t="shared" si="0"/>
        <v>0</v>
      </c>
      <c r="F15" s="137">
        <f t="shared" si="0"/>
        <v>0</v>
      </c>
      <c r="G15" s="137">
        <f t="shared" si="0"/>
        <v>0</v>
      </c>
      <c r="H15" s="137">
        <f t="shared" si="0"/>
        <v>0</v>
      </c>
      <c r="I15" s="137">
        <f t="shared" si="0"/>
        <v>0</v>
      </c>
      <c r="J15" s="137">
        <f t="shared" si="0"/>
        <v>0</v>
      </c>
      <c r="K15" s="137">
        <f t="shared" si="0"/>
        <v>0</v>
      </c>
      <c r="L15" s="137">
        <f t="shared" si="0"/>
        <v>0</v>
      </c>
      <c r="M15" s="137">
        <f t="shared" si="0"/>
        <v>0</v>
      </c>
      <c r="N15" s="137">
        <f t="shared" si="0"/>
        <v>0</v>
      </c>
      <c r="O15" s="145">
        <f>'SET SP Nataga'!J19</f>
        <v>0</v>
      </c>
      <c r="V15" s="9"/>
      <c r="W15" s="10"/>
      <c r="X15" s="10"/>
    </row>
    <row r="16" spans="1:24" ht="17.25" customHeight="1" x14ac:dyDescent="0.25">
      <c r="A16" s="183" t="s">
        <v>272</v>
      </c>
      <c r="B16" s="184"/>
      <c r="C16" s="137">
        <f t="shared" ref="C16:N16" si="1">$O$16</f>
        <v>0</v>
      </c>
      <c r="D16" s="137">
        <f t="shared" si="1"/>
        <v>0</v>
      </c>
      <c r="E16" s="137">
        <f t="shared" si="1"/>
        <v>0</v>
      </c>
      <c r="F16" s="137">
        <f t="shared" si="1"/>
        <v>0</v>
      </c>
      <c r="G16" s="137">
        <f t="shared" si="1"/>
        <v>0</v>
      </c>
      <c r="H16" s="137">
        <f t="shared" si="1"/>
        <v>0</v>
      </c>
      <c r="I16" s="137">
        <f t="shared" si="1"/>
        <v>0</v>
      </c>
      <c r="J16" s="137">
        <f t="shared" si="1"/>
        <v>0</v>
      </c>
      <c r="K16" s="137">
        <f t="shared" si="1"/>
        <v>0</v>
      </c>
      <c r="L16" s="137">
        <f t="shared" si="1"/>
        <v>0</v>
      </c>
      <c r="M16" s="137">
        <f t="shared" si="1"/>
        <v>0</v>
      </c>
      <c r="N16" s="137">
        <f t="shared" si="1"/>
        <v>0</v>
      </c>
      <c r="O16" s="145">
        <f>'SET SP Nataga'!K19</f>
        <v>0</v>
      </c>
      <c r="V16" s="9"/>
      <c r="W16" s="10"/>
      <c r="X16" s="10"/>
    </row>
    <row r="17" spans="1:24" ht="17.25" customHeight="1" x14ac:dyDescent="0.25">
      <c r="A17" s="187" t="s">
        <v>263</v>
      </c>
      <c r="B17" s="188"/>
      <c r="C17" s="72">
        <f>IF(ISNUMBER(C19),C18/C19,"-")</f>
        <v>0.9552058111380145</v>
      </c>
      <c r="D17" s="72">
        <f t="shared" ref="D17:O17" si="2">IF(ISNUMBER(D19),D18/D19,"-")</f>
        <v>0.95536791314837144</v>
      </c>
      <c r="E17" s="72">
        <f t="shared" si="2"/>
        <v>0.95558223289315714</v>
      </c>
      <c r="F17" s="72">
        <f t="shared" si="2"/>
        <v>0.95558223289315725</v>
      </c>
      <c r="G17" s="72">
        <f t="shared" si="2"/>
        <v>0.95574162679425834</v>
      </c>
      <c r="H17" s="72">
        <f t="shared" si="2"/>
        <v>0.95574162679425823</v>
      </c>
      <c r="I17" s="72">
        <f t="shared" si="2"/>
        <v>0.95346062052505953</v>
      </c>
      <c r="J17" s="72">
        <f t="shared" si="2"/>
        <v>0.95579450418160095</v>
      </c>
      <c r="K17" s="72">
        <f t="shared" si="2"/>
        <v>0.95589988081048871</v>
      </c>
      <c r="L17" s="72">
        <f t="shared" si="2"/>
        <v>0.955952380952381</v>
      </c>
      <c r="M17" s="72">
        <f t="shared" si="2"/>
        <v>0.95600475624256842</v>
      </c>
      <c r="N17" s="72">
        <f t="shared" si="2"/>
        <v>0.955952380952381</v>
      </c>
      <c r="O17" s="73">
        <f t="shared" si="2"/>
        <v>0.95547430293594426</v>
      </c>
      <c r="V17" s="9"/>
      <c r="W17" s="10"/>
      <c r="X17" s="10"/>
    </row>
    <row r="18" spans="1:24" ht="18" customHeight="1" x14ac:dyDescent="0.25">
      <c r="A18" s="189" t="s">
        <v>37</v>
      </c>
      <c r="B18" s="39" t="s">
        <v>144</v>
      </c>
      <c r="C18" s="77">
        <f>+'07'!C18</f>
        <v>31.87</v>
      </c>
      <c r="D18" s="77">
        <f>+'07'!D18</f>
        <v>18.54</v>
      </c>
      <c r="E18" s="77">
        <f>+'07'!E18</f>
        <v>17.079999999999998</v>
      </c>
      <c r="F18" s="77">
        <f>+'07'!F18</f>
        <v>10.32</v>
      </c>
      <c r="G18" s="77">
        <f>+'07'!G18</f>
        <v>25.88</v>
      </c>
      <c r="H18" s="77">
        <f>+'07'!H18</f>
        <v>25.58</v>
      </c>
      <c r="I18" s="77">
        <f>+'07'!I18</f>
        <v>32.28</v>
      </c>
      <c r="J18" s="77">
        <f>+'07'!J18</f>
        <v>27.58</v>
      </c>
      <c r="K18" s="77">
        <f>+'07'!K18</f>
        <v>23.44</v>
      </c>
      <c r="L18" s="77">
        <f>+'07'!L18</f>
        <v>26.39</v>
      </c>
      <c r="M18" s="77">
        <f>+'07'!M18</f>
        <v>26.57</v>
      </c>
      <c r="N18" s="77">
        <f>+'07'!N18</f>
        <v>28.18</v>
      </c>
      <c r="O18" s="78">
        <f>SUM(C18:N18)</f>
        <v>293.70999999999998</v>
      </c>
      <c r="V18" s="9"/>
      <c r="W18" s="10"/>
      <c r="X18" s="10"/>
    </row>
    <row r="19" spans="1:24" ht="14.25" customHeight="1" x14ac:dyDescent="0.25">
      <c r="A19" s="189"/>
      <c r="B19" s="39" t="s">
        <v>138</v>
      </c>
      <c r="C19" s="77">
        <f>+'07'!C19</f>
        <v>33.364537389100128</v>
      </c>
      <c r="D19" s="77">
        <f>+'07'!D19</f>
        <v>19.406136363636364</v>
      </c>
      <c r="E19" s="77">
        <f>+'07'!E19</f>
        <v>17.87391959798995</v>
      </c>
      <c r="F19" s="77">
        <f>+'07'!F19</f>
        <v>10.799698492462312</v>
      </c>
      <c r="G19" s="77">
        <f>+'07'!G19</f>
        <v>27.078448060075093</v>
      </c>
      <c r="H19" s="77">
        <f>+'07'!H19</f>
        <v>26.764555694618274</v>
      </c>
      <c r="I19" s="77">
        <f>+'07'!I19</f>
        <v>33.855619524405512</v>
      </c>
      <c r="J19" s="77">
        <f>+'07'!J19</f>
        <v>28.855574999999998</v>
      </c>
      <c r="K19" s="77">
        <f>+'07'!K19</f>
        <v>24.521396508728181</v>
      </c>
      <c r="L19" s="77">
        <f>+'07'!L19</f>
        <v>27.605977584059776</v>
      </c>
      <c r="M19" s="77">
        <f>+'07'!M19</f>
        <v>27.792748756218906</v>
      </c>
      <c r="N19" s="77">
        <f>+'07'!N19</f>
        <v>29.478455790784555</v>
      </c>
      <c r="O19" s="78">
        <f>SUM(C19:N19)</f>
        <v>307.39706876207902</v>
      </c>
      <c r="V19" s="9"/>
      <c r="W19" s="10"/>
      <c r="X19" s="10"/>
    </row>
    <row r="20" spans="1:24" ht="12.75" customHeight="1" x14ac:dyDescent="0.25">
      <c r="A20" s="189"/>
      <c r="B20" s="13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19"/>
      <c r="V20" s="9"/>
      <c r="W20" s="10"/>
      <c r="X20" s="10"/>
    </row>
    <row r="21" spans="1:24" ht="13.5" customHeight="1" thickBot="1" x14ac:dyDescent="0.3">
      <c r="A21" s="190"/>
      <c r="B21" s="136" t="s">
        <v>3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20"/>
      <c r="V21" s="9"/>
      <c r="W21" s="10"/>
      <c r="X21" s="10"/>
    </row>
    <row r="22" spans="1:24" ht="14.25" customHeight="1" thickBot="1" x14ac:dyDescent="0.3">
      <c r="A22" s="191" t="s">
        <v>34</v>
      </c>
      <c r="B22" s="192"/>
      <c r="C22" s="193"/>
      <c r="D22" s="180" t="str">
        <f>'SET SP Nataga'!$G19</f>
        <v>Entre 91% y 100%</v>
      </c>
      <c r="E22" s="181"/>
      <c r="F22" s="181"/>
      <c r="G22" s="182"/>
      <c r="H22" s="180" t="str">
        <f>'SET SP Nataga'!$H19</f>
        <v>Entre 71% y 90%</v>
      </c>
      <c r="I22" s="181"/>
      <c r="J22" s="181"/>
      <c r="K22" s="182"/>
      <c r="L22" s="180" t="str">
        <f>'SET SP Nataga'!$I19</f>
        <v>Menor al 70%</v>
      </c>
      <c r="M22" s="185"/>
      <c r="N22" s="185"/>
      <c r="O22" s="186"/>
      <c r="V22" s="9"/>
      <c r="W22" s="10"/>
      <c r="X22" s="10"/>
    </row>
    <row r="23" spans="1:24" ht="33" customHeight="1" thickBot="1" x14ac:dyDescent="0.3">
      <c r="A23" s="194"/>
      <c r="B23" s="195"/>
      <c r="C23" s="195"/>
      <c r="D23" s="196" t="s">
        <v>7</v>
      </c>
      <c r="E23" s="196"/>
      <c r="F23" s="196"/>
      <c r="G23" s="196"/>
      <c r="H23" s="197" t="s">
        <v>61</v>
      </c>
      <c r="I23" s="197"/>
      <c r="J23" s="197"/>
      <c r="K23" s="197"/>
      <c r="L23" s="211" t="s">
        <v>62</v>
      </c>
      <c r="M23" s="211"/>
      <c r="N23" s="211"/>
      <c r="O23" s="212"/>
      <c r="V23" s="9"/>
      <c r="W23" s="10"/>
      <c r="X23" s="10"/>
    </row>
    <row r="24" spans="1:24" ht="15.75" customHeight="1" thickBot="1" x14ac:dyDescent="0.3">
      <c r="A24" s="213" t="s">
        <v>36</v>
      </c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5"/>
      <c r="V24" s="9"/>
      <c r="W24" s="10"/>
      <c r="X24" s="10"/>
    </row>
    <row r="25" spans="1:24" ht="264.75" customHeight="1" thickBot="1" x14ac:dyDescent="0.3">
      <c r="A25" s="177"/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9"/>
      <c r="V25" s="9"/>
    </row>
    <row r="26" spans="1:24" ht="15" customHeight="1" x14ac:dyDescent="0.25">
      <c r="A26" s="198" t="s">
        <v>58</v>
      </c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200" t="s">
        <v>60</v>
      </c>
      <c r="O26" s="201"/>
    </row>
    <row r="27" spans="1:24" ht="15" x14ac:dyDescent="0.25">
      <c r="A27" s="202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41">
        <v>43101</v>
      </c>
      <c r="O27" s="242"/>
    </row>
    <row r="28" spans="1:24" ht="15" x14ac:dyDescent="0.25">
      <c r="A28" s="202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41">
        <v>43132</v>
      </c>
      <c r="O28" s="242"/>
    </row>
    <row r="29" spans="1:24" ht="15" x14ac:dyDescent="0.25">
      <c r="A29" s="202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41">
        <v>43160</v>
      </c>
      <c r="O29" s="242"/>
    </row>
    <row r="30" spans="1:24" ht="15" x14ac:dyDescent="0.25">
      <c r="A30" s="202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41">
        <v>43191</v>
      </c>
      <c r="O30" s="242"/>
    </row>
    <row r="31" spans="1:24" ht="15" x14ac:dyDescent="0.25">
      <c r="A31" s="202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41">
        <v>43221</v>
      </c>
      <c r="O31" s="242"/>
    </row>
    <row r="32" spans="1:24" ht="15" x14ac:dyDescent="0.25">
      <c r="A32" s="202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41">
        <v>43252</v>
      </c>
      <c r="O32" s="242"/>
    </row>
    <row r="33" spans="1:17" ht="15" x14ac:dyDescent="0.25">
      <c r="A33" s="202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41">
        <v>43282</v>
      </c>
      <c r="O33" s="242"/>
    </row>
    <row r="34" spans="1:17" ht="15" x14ac:dyDescent="0.25">
      <c r="A34" s="202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41">
        <v>43313</v>
      </c>
      <c r="O34" s="242"/>
    </row>
    <row r="35" spans="1:17" ht="15" x14ac:dyDescent="0.25">
      <c r="A35" s="202"/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41">
        <v>43344</v>
      </c>
      <c r="O35" s="242"/>
    </row>
    <row r="36" spans="1:17" ht="15" x14ac:dyDescent="0.25">
      <c r="A36" s="202"/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41">
        <v>43374</v>
      </c>
      <c r="O36" s="242"/>
    </row>
    <row r="37" spans="1:17" ht="15" x14ac:dyDescent="0.25">
      <c r="A37" s="202"/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41">
        <v>43405</v>
      </c>
      <c r="O37" s="242"/>
    </row>
    <row r="38" spans="1:17" ht="15.75" thickBot="1" x14ac:dyDescent="0.3">
      <c r="A38" s="202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41">
        <v>43435</v>
      </c>
      <c r="O38" s="242"/>
    </row>
    <row r="39" spans="1:17" ht="19.5" customHeight="1" x14ac:dyDescent="0.25">
      <c r="A39" s="198" t="s">
        <v>59</v>
      </c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200" t="s">
        <v>60</v>
      </c>
      <c r="O39" s="201"/>
    </row>
    <row r="40" spans="1:17" ht="15" x14ac:dyDescent="0.25">
      <c r="A40" s="202" t="s">
        <v>3</v>
      </c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4" t="s">
        <v>3</v>
      </c>
      <c r="O40" s="205"/>
    </row>
    <row r="41" spans="1:17" ht="15.75" thickBot="1" x14ac:dyDescent="0.3">
      <c r="A41" s="273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5"/>
    </row>
    <row r="42" spans="1:17" ht="5.25" customHeight="1" x14ac:dyDescent="0.25">
      <c r="A42" s="176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</row>
    <row r="44" spans="1:17" ht="14.25" x14ac:dyDescent="0.2">
      <c r="Q44" s="48" t="s">
        <v>81</v>
      </c>
    </row>
    <row r="45" spans="1:17" ht="14.25" x14ac:dyDescent="0.2">
      <c r="Q45" s="48" t="s">
        <v>82</v>
      </c>
    </row>
    <row r="46" spans="1:17" ht="14.25" x14ac:dyDescent="0.2">
      <c r="Q46" s="48" t="s">
        <v>83</v>
      </c>
    </row>
    <row r="47" spans="1:17" ht="14.25" x14ac:dyDescent="0.2">
      <c r="Q47" s="48" t="s">
        <v>84</v>
      </c>
    </row>
    <row r="48" spans="1:17" ht="14.25" x14ac:dyDescent="0.2">
      <c r="Q48" s="48" t="s">
        <v>85</v>
      </c>
    </row>
    <row r="49" spans="17:17" ht="14.25" x14ac:dyDescent="0.2">
      <c r="Q49" s="48" t="s">
        <v>86</v>
      </c>
    </row>
    <row r="50" spans="17:17" ht="14.25" x14ac:dyDescent="0.2">
      <c r="Q50" s="48" t="s">
        <v>87</v>
      </c>
    </row>
    <row r="51" spans="17:17" ht="14.25" x14ac:dyDescent="0.2">
      <c r="Q51" s="48" t="s">
        <v>88</v>
      </c>
    </row>
    <row r="52" spans="17:17" ht="14.25" x14ac:dyDescent="0.2">
      <c r="Q52" s="48" t="s">
        <v>89</v>
      </c>
    </row>
    <row r="53" spans="17:17" ht="14.25" x14ac:dyDescent="0.2">
      <c r="Q53" s="48" t="s">
        <v>90</v>
      </c>
    </row>
    <row r="54" spans="17:17" ht="14.25" x14ac:dyDescent="0.2">
      <c r="Q54" s="48" t="s">
        <v>91</v>
      </c>
    </row>
    <row r="55" spans="17:17" ht="14.25" x14ac:dyDescent="0.2">
      <c r="Q55" s="48" t="s">
        <v>92</v>
      </c>
    </row>
    <row r="56" spans="17:17" ht="14.25" x14ac:dyDescent="0.2">
      <c r="Q56" s="48" t="s">
        <v>93</v>
      </c>
    </row>
    <row r="58" spans="17:17" x14ac:dyDescent="0.25">
      <c r="Q58" s="11">
        <v>0.98</v>
      </c>
    </row>
    <row r="59" spans="17:17" x14ac:dyDescent="0.25">
      <c r="Q59" s="11">
        <v>1</v>
      </c>
    </row>
  </sheetData>
  <sheetProtection algorithmName="SHA-512" hashValue="ADnsezXLVODgHyIKG+G5GvmQxGgVehtPRrpb/XFVZTlr8Zn3dmtm1WBSovUfQnxCW6Tnt7M1b62G6TH/xMxHPg==" saltValue="smOYFU91xIjwwgwsPmcsbQ==" spinCount="100000" sheet="1" objects="1" scenarios="1"/>
  <mergeCells count="74">
    <mergeCell ref="N29:O29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A34:M34"/>
    <mergeCell ref="A35:M35"/>
    <mergeCell ref="A36:M36"/>
    <mergeCell ref="A37:M37"/>
    <mergeCell ref="A38:M38"/>
    <mergeCell ref="A29:M29"/>
    <mergeCell ref="A30:M30"/>
    <mergeCell ref="A31:M31"/>
    <mergeCell ref="A32:M32"/>
    <mergeCell ref="A33:M33"/>
    <mergeCell ref="A42:O42"/>
    <mergeCell ref="A39:M39"/>
    <mergeCell ref="N39:O39"/>
    <mergeCell ref="A40:M40"/>
    <mergeCell ref="N40:O40"/>
    <mergeCell ref="A41:M41"/>
    <mergeCell ref="N41:O41"/>
    <mergeCell ref="A26:M26"/>
    <mergeCell ref="N26:O26"/>
    <mergeCell ref="A27:M27"/>
    <mergeCell ref="N27:O27"/>
    <mergeCell ref="A28:M28"/>
    <mergeCell ref="N28:O28"/>
    <mergeCell ref="A25:O25"/>
    <mergeCell ref="A16:B16"/>
    <mergeCell ref="A17:B17"/>
    <mergeCell ref="A18:A21"/>
    <mergeCell ref="A22:C23"/>
    <mergeCell ref="D22:G22"/>
    <mergeCell ref="H22:K22"/>
    <mergeCell ref="L22:O22"/>
    <mergeCell ref="D23:G23"/>
    <mergeCell ref="H23:K23"/>
    <mergeCell ref="L23:O23"/>
    <mergeCell ref="A24:O24"/>
    <mergeCell ref="A15:B15"/>
    <mergeCell ref="L7:O7"/>
    <mergeCell ref="L8:M8"/>
    <mergeCell ref="N8:O8"/>
    <mergeCell ref="A9:D9"/>
    <mergeCell ref="F9:G9"/>
    <mergeCell ref="J9:O9"/>
    <mergeCell ref="A10:O10"/>
    <mergeCell ref="A11:O11"/>
    <mergeCell ref="A12:O12"/>
    <mergeCell ref="A13:O13"/>
    <mergeCell ref="A14:B14"/>
    <mergeCell ref="A5:E5"/>
    <mergeCell ref="F5:O5"/>
    <mergeCell ref="A6:E6"/>
    <mergeCell ref="G6:O6"/>
    <mergeCell ref="A7:D8"/>
    <mergeCell ref="E7:E8"/>
    <mergeCell ref="F7:G8"/>
    <mergeCell ref="H7:H8"/>
    <mergeCell ref="I7:I8"/>
    <mergeCell ref="J7:K8"/>
    <mergeCell ref="A4:E4"/>
    <mergeCell ref="F4:O4"/>
    <mergeCell ref="A1:C2"/>
    <mergeCell ref="D1:O1"/>
    <mergeCell ref="D2:O2"/>
    <mergeCell ref="A3:E3"/>
    <mergeCell ref="F3:O3"/>
  </mergeCells>
  <dataValidations count="1">
    <dataValidation type="list" allowBlank="1" showInputMessage="1" showErrorMessage="1" sqref="J9:O9">
      <formula1>$Q$44:$Q$56</formula1>
    </dataValidation>
  </dataValidations>
  <pageMargins left="0.39370078740157483" right="0.39370078740157483" top="0.35433070866141736" bottom="0.35433070866141736" header="0" footer="0"/>
  <pageSetup scale="73" orientation="portrait" horizontalDpi="4294967294" verticalDpi="4294967294" r:id="rId1"/>
  <headerFooter alignWithMargins="0">
    <oddFooter>&amp;R&amp;8Diseñado por: Wilson Andrade González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8"/>
  <sheetViews>
    <sheetView windowProtection="1" showGridLines="0" tabSelected="1" topLeftCell="G1" zoomScalePageLayoutView="130" workbookViewId="0">
      <selection activeCell="R18" sqref="R18"/>
    </sheetView>
  </sheetViews>
  <sheetFormatPr baseColWidth="10" defaultRowHeight="12.75" x14ac:dyDescent="0.2"/>
  <cols>
    <col min="1" max="1" width="3" style="89" customWidth="1"/>
    <col min="2" max="2" width="36.42578125" style="89" customWidth="1"/>
    <col min="3" max="3" width="11.42578125" style="89" customWidth="1"/>
    <col min="4" max="15" width="11.28515625" style="92" customWidth="1"/>
    <col min="16" max="16" width="11.42578125" style="66"/>
    <col min="17" max="17" width="12.28515625" style="66" bestFit="1" customWidth="1"/>
    <col min="18" max="16384" width="11.42578125" style="66"/>
  </cols>
  <sheetData>
    <row r="1" spans="1:16" x14ac:dyDescent="0.2">
      <c r="A1" s="293" t="s">
        <v>180</v>
      </c>
      <c r="B1" s="293"/>
      <c r="C1" s="293"/>
      <c r="D1" s="293"/>
      <c r="E1" s="293"/>
      <c r="F1" s="293"/>
      <c r="G1" s="293"/>
    </row>
    <row r="2" spans="1:16" ht="20.25" x14ac:dyDescent="0.3">
      <c r="A2" s="294" t="s">
        <v>269</v>
      </c>
      <c r="B2" s="295"/>
      <c r="C2" s="80"/>
      <c r="D2" s="94"/>
      <c r="E2" s="293" t="s">
        <v>250</v>
      </c>
      <c r="F2" s="299"/>
      <c r="G2" s="300" t="s">
        <v>249</v>
      </c>
      <c r="H2" s="300"/>
      <c r="I2" s="300"/>
      <c r="J2" s="300"/>
      <c r="K2" s="300"/>
    </row>
    <row r="4" spans="1:16" ht="18.75" customHeight="1" x14ac:dyDescent="0.2">
      <c r="A4" s="296" t="s">
        <v>181</v>
      </c>
      <c r="B4" s="297"/>
      <c r="C4" s="99" t="s">
        <v>182</v>
      </c>
      <c r="D4" s="100">
        <v>43101</v>
      </c>
      <c r="E4" s="100">
        <f t="shared" ref="E4:O4" si="0">+D4+31</f>
        <v>43132</v>
      </c>
      <c r="F4" s="100">
        <f t="shared" si="0"/>
        <v>43163</v>
      </c>
      <c r="G4" s="100">
        <f t="shared" si="0"/>
        <v>43194</v>
      </c>
      <c r="H4" s="100">
        <f t="shared" si="0"/>
        <v>43225</v>
      </c>
      <c r="I4" s="100">
        <f t="shared" si="0"/>
        <v>43256</v>
      </c>
      <c r="J4" s="100">
        <f t="shared" si="0"/>
        <v>43287</v>
      </c>
      <c r="K4" s="100">
        <f t="shared" si="0"/>
        <v>43318</v>
      </c>
      <c r="L4" s="100">
        <f t="shared" si="0"/>
        <v>43349</v>
      </c>
      <c r="M4" s="100">
        <f t="shared" si="0"/>
        <v>43380</v>
      </c>
      <c r="N4" s="100">
        <f t="shared" si="0"/>
        <v>43411</v>
      </c>
      <c r="O4" s="100">
        <f t="shared" si="0"/>
        <v>43442</v>
      </c>
    </row>
    <row r="5" spans="1:16" x14ac:dyDescent="0.2">
      <c r="A5" s="101">
        <v>1</v>
      </c>
      <c r="B5" s="102" t="s">
        <v>183</v>
      </c>
      <c r="C5" s="103" t="s">
        <v>183</v>
      </c>
      <c r="D5" s="148">
        <v>826</v>
      </c>
      <c r="E5" s="104">
        <v>829</v>
      </c>
      <c r="F5" s="104">
        <v>833</v>
      </c>
      <c r="G5" s="104">
        <v>833</v>
      </c>
      <c r="H5" s="104">
        <v>836</v>
      </c>
      <c r="I5" s="104">
        <v>836</v>
      </c>
      <c r="J5" s="104">
        <v>838</v>
      </c>
      <c r="K5" s="104">
        <v>837</v>
      </c>
      <c r="L5" s="104">
        <v>839</v>
      </c>
      <c r="M5" s="104">
        <v>840</v>
      </c>
      <c r="N5" s="104">
        <v>841</v>
      </c>
      <c r="O5" s="105">
        <v>840</v>
      </c>
    </row>
    <row r="6" spans="1:16" x14ac:dyDescent="0.2">
      <c r="A6" s="106">
        <v>2</v>
      </c>
      <c r="B6" s="107" t="s">
        <v>184</v>
      </c>
      <c r="C6" s="108" t="s">
        <v>185</v>
      </c>
      <c r="D6" s="149">
        <v>813</v>
      </c>
      <c r="E6" s="109">
        <v>816</v>
      </c>
      <c r="F6" s="109">
        <v>820</v>
      </c>
      <c r="G6" s="109">
        <v>820</v>
      </c>
      <c r="H6" s="109">
        <v>823</v>
      </c>
      <c r="I6" s="109">
        <v>823</v>
      </c>
      <c r="J6" s="109">
        <v>825</v>
      </c>
      <c r="K6" s="109">
        <v>824</v>
      </c>
      <c r="L6" s="109">
        <v>826</v>
      </c>
      <c r="M6" s="109">
        <v>827</v>
      </c>
      <c r="N6" s="109">
        <v>828</v>
      </c>
      <c r="O6" s="110">
        <v>827</v>
      </c>
    </row>
    <row r="7" spans="1:16" x14ac:dyDescent="0.2">
      <c r="A7" s="101">
        <v>3</v>
      </c>
      <c r="B7" s="102" t="s">
        <v>186</v>
      </c>
      <c r="C7" s="103" t="s">
        <v>185</v>
      </c>
      <c r="D7" s="148">
        <v>787</v>
      </c>
      <c r="E7" s="104">
        <v>790</v>
      </c>
      <c r="F7" s="104">
        <v>794</v>
      </c>
      <c r="G7" s="104">
        <v>794</v>
      </c>
      <c r="H7" s="104">
        <v>797</v>
      </c>
      <c r="I7" s="104">
        <v>797</v>
      </c>
      <c r="J7" s="104">
        <v>798</v>
      </c>
      <c r="K7" s="104">
        <v>799</v>
      </c>
      <c r="L7" s="104">
        <v>801</v>
      </c>
      <c r="M7" s="104">
        <v>802</v>
      </c>
      <c r="N7" s="104">
        <v>803</v>
      </c>
      <c r="O7" s="105">
        <v>802</v>
      </c>
    </row>
    <row r="8" spans="1:16" x14ac:dyDescent="0.2">
      <c r="A8" s="106">
        <v>4</v>
      </c>
      <c r="B8" s="107" t="s">
        <v>187</v>
      </c>
      <c r="C8" s="108" t="s">
        <v>185</v>
      </c>
      <c r="D8" s="149">
        <v>789</v>
      </c>
      <c r="E8" s="109">
        <v>792</v>
      </c>
      <c r="F8" s="109">
        <v>796</v>
      </c>
      <c r="G8" s="109">
        <v>796</v>
      </c>
      <c r="H8" s="109">
        <v>799</v>
      </c>
      <c r="I8" s="109">
        <v>799</v>
      </c>
      <c r="J8" s="109">
        <v>799</v>
      </c>
      <c r="K8" s="109">
        <v>800</v>
      </c>
      <c r="L8" s="109">
        <v>802</v>
      </c>
      <c r="M8" s="109">
        <v>803</v>
      </c>
      <c r="N8" s="109">
        <v>804</v>
      </c>
      <c r="O8" s="110">
        <v>803</v>
      </c>
    </row>
    <row r="9" spans="1:16" x14ac:dyDescent="0.2">
      <c r="A9" s="101">
        <v>5</v>
      </c>
      <c r="B9" s="102" t="s">
        <v>188</v>
      </c>
      <c r="C9" s="103" t="s">
        <v>189</v>
      </c>
      <c r="D9" s="150">
        <v>17230</v>
      </c>
      <c r="E9" s="111">
        <v>17098</v>
      </c>
      <c r="F9" s="151">
        <v>19579</v>
      </c>
      <c r="G9" s="151">
        <v>15941</v>
      </c>
      <c r="H9" s="151">
        <v>17254</v>
      </c>
      <c r="I9" s="151">
        <v>17969</v>
      </c>
      <c r="J9" s="152">
        <v>19082</v>
      </c>
      <c r="K9" s="152">
        <v>18838</v>
      </c>
      <c r="L9" s="153">
        <v>19517.791999999998</v>
      </c>
      <c r="M9" s="153">
        <v>20083.552</v>
      </c>
      <c r="N9" s="153">
        <v>18627.051999999996</v>
      </c>
      <c r="O9" s="153">
        <v>19448</v>
      </c>
      <c r="P9" s="68">
        <f>SUM(D9:O9)</f>
        <v>220667.39599999998</v>
      </c>
    </row>
    <row r="10" spans="1:16" x14ac:dyDescent="0.2">
      <c r="A10" s="106">
        <v>6</v>
      </c>
      <c r="B10" s="107" t="s">
        <v>190</v>
      </c>
      <c r="C10" s="108" t="s">
        <v>189</v>
      </c>
      <c r="D10" s="109">
        <v>8881</v>
      </c>
      <c r="E10" s="109">
        <v>7342</v>
      </c>
      <c r="F10" s="109">
        <v>7076</v>
      </c>
      <c r="G10" s="109">
        <v>8986</v>
      </c>
      <c r="H10" s="109">
        <v>8144</v>
      </c>
      <c r="I10" s="109">
        <v>8180</v>
      </c>
      <c r="J10" s="109">
        <v>9618</v>
      </c>
      <c r="K10" s="109">
        <v>8532</v>
      </c>
      <c r="L10" s="109">
        <v>10361</v>
      </c>
      <c r="M10" s="109">
        <v>7344</v>
      </c>
      <c r="N10" s="109">
        <v>8216</v>
      </c>
      <c r="O10" s="109">
        <v>7297</v>
      </c>
      <c r="P10" s="68">
        <f t="shared" ref="P10:P14" si="1">SUM(D10:O10)</f>
        <v>99977</v>
      </c>
    </row>
    <row r="11" spans="1:16" s="92" customFormat="1" x14ac:dyDescent="0.2">
      <c r="A11" s="101">
        <v>7</v>
      </c>
      <c r="B11" s="102" t="s">
        <v>264</v>
      </c>
      <c r="C11" s="103" t="s">
        <v>191</v>
      </c>
      <c r="D11" s="113">
        <v>8618</v>
      </c>
      <c r="E11" s="147">
        <v>7112</v>
      </c>
      <c r="F11" s="113">
        <v>6870</v>
      </c>
      <c r="G11" s="113">
        <v>8696</v>
      </c>
      <c r="H11" s="113">
        <v>7883</v>
      </c>
      <c r="I11" s="113">
        <v>7823</v>
      </c>
      <c r="J11" s="113">
        <v>9293</v>
      </c>
      <c r="K11" s="113">
        <v>8260</v>
      </c>
      <c r="L11" s="113">
        <v>10026</v>
      </c>
      <c r="M11" s="113">
        <v>7087</v>
      </c>
      <c r="N11" s="113">
        <v>7927</v>
      </c>
      <c r="O11" s="113">
        <v>7053</v>
      </c>
      <c r="P11" s="68">
        <f t="shared" si="1"/>
        <v>96648</v>
      </c>
    </row>
    <row r="12" spans="1:16" hidden="1" x14ac:dyDescent="0.2">
      <c r="A12" s="106">
        <v>8</v>
      </c>
      <c r="B12" s="107" t="s">
        <v>192</v>
      </c>
      <c r="C12" s="108" t="s">
        <v>191</v>
      </c>
      <c r="D12" s="115"/>
      <c r="E12" s="114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68">
        <f t="shared" si="1"/>
        <v>0</v>
      </c>
    </row>
    <row r="13" spans="1:16" ht="10.5" hidden="1" customHeight="1" x14ac:dyDescent="0.2">
      <c r="A13" s="101">
        <v>9</v>
      </c>
      <c r="B13" s="102" t="s">
        <v>193</v>
      </c>
      <c r="C13" s="103" t="s">
        <v>191</v>
      </c>
      <c r="D13" s="113"/>
      <c r="E13" s="112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68">
        <f t="shared" si="1"/>
        <v>0</v>
      </c>
    </row>
    <row r="14" spans="1:16" x14ac:dyDescent="0.2">
      <c r="A14" s="106">
        <v>10</v>
      </c>
      <c r="B14" s="107" t="s">
        <v>194</v>
      </c>
      <c r="C14" s="108" t="s">
        <v>191</v>
      </c>
      <c r="D14" s="109">
        <f>SUM(3812400+4849680+27326+100000-24802+52500+26556+2826)</f>
        <v>8846486</v>
      </c>
      <c r="E14" s="109">
        <f>SUM(3155312+2954900+39132+75000+63000+26556+601)</f>
        <v>6314501</v>
      </c>
      <c r="F14" s="109">
        <f>SUM(3167485+2834563+37312+243750+105000+8852+17704+20656+657)</f>
        <v>6435979</v>
      </c>
      <c r="G14" s="109">
        <f>SUM(3167485+3757068+39470+188000+94500+41312+738)</f>
        <v>7288573</v>
      </c>
      <c r="H14" s="109">
        <f>SUM(3178471+3360139+53059+226500+136500+8852+82624+1551)</f>
        <v>7047696</v>
      </c>
      <c r="I14" s="109">
        <f>SUM(3178471+3374124+52810+323750+63000+8852+20656+1772)</f>
        <v>7023435</v>
      </c>
      <c r="J14" s="109">
        <f>SUM(3175207+4059186+52648+250250+42000+17704+10328+465)</f>
        <v>7607788</v>
      </c>
      <c r="K14" s="109">
        <f>SUM(3179362+3519139+58182+269500+52500+10328+155)</f>
        <v>7089166</v>
      </c>
      <c r="L14" s="109">
        <f>SUM(3187676+4405292+50222+269500+52500+26556+10328+1958)</f>
        <v>8004032</v>
      </c>
      <c r="M14" s="109">
        <f>SUM(3191833+2955585+54438+288750+94500+17704+8852+20656+368)</f>
        <v>6632686</v>
      </c>
      <c r="N14" s="109">
        <f>SUM(3197177+3361038+57379+250250+42000+8852+20656+663)</f>
        <v>6938015</v>
      </c>
      <c r="O14" s="109">
        <f>SUM(3193020+2942149+56757+211750+31500+8852+51640+899)</f>
        <v>6496567</v>
      </c>
      <c r="P14" s="68">
        <f t="shared" si="1"/>
        <v>85724924</v>
      </c>
    </row>
    <row r="15" spans="1:16" ht="14.25" customHeight="1" x14ac:dyDescent="0.2">
      <c r="A15" s="101">
        <v>11</v>
      </c>
      <c r="B15" s="102" t="s">
        <v>195</v>
      </c>
      <c r="C15" s="103" t="s">
        <v>191</v>
      </c>
      <c r="D15" s="104">
        <f>SUM(27500+3534120+4610336+6745+100000+52500+17704+2779)</f>
        <v>8351684</v>
      </c>
      <c r="E15" s="104">
        <f>SUM(2902033+2805440+17367+75000+63000+17704+697)</f>
        <v>5881241</v>
      </c>
      <c r="F15" s="104">
        <f>SUM(2921345+2718597+14005+206250+84000+17704+880)</f>
        <v>5962781</v>
      </c>
      <c r="G15" s="104">
        <f>SUM(2826809+3462150+11409+169250+84000+10328+626)</f>
        <v>6564572</v>
      </c>
      <c r="H15" s="104">
        <f>SUM(2881853+3083677+22816+207750+126000+30984+1393)</f>
        <v>6354473</v>
      </c>
      <c r="I15" s="104">
        <f>SUM(9650+2911542+3145298+19472+305000+52500+8852+10328+1764)</f>
        <v>6464406</v>
      </c>
      <c r="J15" s="104">
        <f>SUM(1250+2828705+3702507+19307+250250+42000+17704+383)</f>
        <v>6862106</v>
      </c>
      <c r="K15" s="104">
        <f>SUM(2782090+3089365+29712+250250+52500+10328+181)</f>
        <v>6214426</v>
      </c>
      <c r="L15" s="104">
        <f>SUM(8531+2967662+4115284+26588+269500+52500+26556+10328+1870)</f>
        <v>7478819</v>
      </c>
      <c r="M15" s="104">
        <f>SUM(2770802+2609062+26021+288750+84000+8852+10328+428)</f>
        <v>5798243</v>
      </c>
      <c r="N15" s="104">
        <f>SUM(2780904+2959467+31894+211750+42000+20656+695)</f>
        <v>6047366</v>
      </c>
      <c r="O15" s="104">
        <f>SUM(5160+2767535+2630583+32763+154000+21000+8852+41312+857)</f>
        <v>5662062</v>
      </c>
      <c r="P15" s="68"/>
    </row>
    <row r="16" spans="1:16" x14ac:dyDescent="0.2">
      <c r="A16" s="106">
        <v>12</v>
      </c>
      <c r="B16" s="107" t="s">
        <v>196</v>
      </c>
      <c r="C16" s="108" t="s">
        <v>191</v>
      </c>
      <c r="D16" s="109">
        <f>SUM(2303550+4610816-21822+35000)</f>
        <v>6927544</v>
      </c>
      <c r="E16" s="109">
        <f>SUM(1872804+1845699+42000)</f>
        <v>3760503</v>
      </c>
      <c r="F16" s="109">
        <f>SUM(1880276+1776664+70000)</f>
        <v>3726940</v>
      </c>
      <c r="G16" s="109">
        <f>SUM(1880276+2344516+63000)</f>
        <v>4287792</v>
      </c>
      <c r="H16" s="109">
        <f>SUM(1887020+2094193+91000)</f>
        <v>4072213</v>
      </c>
      <c r="I16" s="109">
        <f>SUM(1887020+2083577+42000)</f>
        <v>4012597</v>
      </c>
      <c r="J16" s="109">
        <f>SUM(1887567+2535372+28000)</f>
        <v>4450939</v>
      </c>
      <c r="K16" s="109">
        <f>SUM(1890119+2199902+35000)</f>
        <v>4125021</v>
      </c>
      <c r="L16" s="109">
        <f>SUM(1895223+2748941+35000)</f>
        <v>4679164</v>
      </c>
      <c r="M16" s="109">
        <f>SUM(1897775+1839875+63000)</f>
        <v>3800650</v>
      </c>
      <c r="N16" s="109">
        <f>SUM(1901056+2095766+28000)</f>
        <v>4024822</v>
      </c>
      <c r="O16" s="109">
        <f>SUM(1898504+1835126+21000)</f>
        <v>3754630</v>
      </c>
      <c r="P16" s="68"/>
    </row>
    <row r="17" spans="1:17" x14ac:dyDescent="0.2">
      <c r="A17" s="101">
        <v>13</v>
      </c>
      <c r="B17" s="102" t="s">
        <v>197</v>
      </c>
      <c r="C17" s="103" t="s">
        <v>191</v>
      </c>
      <c r="D17" s="104">
        <f>SUM(2134800+4392099+35000)</f>
        <v>6561899</v>
      </c>
      <c r="E17" s="104">
        <f>SUM(1726672+1757162+42000)</f>
        <v>3525834</v>
      </c>
      <c r="F17" s="104">
        <f>SUM(1731729+1702004+56000)</f>
        <v>3489733</v>
      </c>
      <c r="G17" s="104">
        <f>SUM(1676130+2154642+56000)</f>
        <v>3886772</v>
      </c>
      <c r="H17" s="104">
        <f>SUM(1710037+1916707+84000)</f>
        <v>3710744</v>
      </c>
      <c r="I17" s="104">
        <f>SUM(1725708+1936256+35000)</f>
        <v>3696964</v>
      </c>
      <c r="J17" s="104">
        <f>SUM(1686707+2311893+28000)</f>
        <v>4026600</v>
      </c>
      <c r="K17" s="104">
        <f>SUM(1650434+1930127+35000)</f>
        <v>3615561</v>
      </c>
      <c r="L17" s="104">
        <f>SUM(1763625+2559302+35000)</f>
        <v>4357927</v>
      </c>
      <c r="M17" s="104">
        <f>SUM(1648607+1620059+56000)</f>
        <v>3324666</v>
      </c>
      <c r="N17" s="104">
        <f>SUM(1652261+1842302+28000)</f>
        <v>3522563</v>
      </c>
      <c r="O17" s="104">
        <f>SUM(1642410+1636809+14000)</f>
        <v>3293219</v>
      </c>
      <c r="P17" s="68"/>
    </row>
    <row r="18" spans="1:17" x14ac:dyDescent="0.2">
      <c r="A18" s="106">
        <v>14</v>
      </c>
      <c r="B18" s="107" t="s">
        <v>198</v>
      </c>
      <c r="C18" s="108" t="s">
        <v>191</v>
      </c>
      <c r="D18" s="109">
        <v>3574284</v>
      </c>
      <c r="E18" s="109">
        <v>3585528</v>
      </c>
      <c r="F18" s="109">
        <v>3598735</v>
      </c>
      <c r="G18" s="109">
        <v>3598735</v>
      </c>
      <c r="H18" s="109">
        <f>3609043-4552</f>
        <v>3604491</v>
      </c>
      <c r="I18" s="109">
        <v>3608368</v>
      </c>
      <c r="J18" s="109">
        <v>3595888</v>
      </c>
      <c r="K18" s="109">
        <v>3600398</v>
      </c>
      <c r="L18" s="109">
        <v>3611704</v>
      </c>
      <c r="M18" s="109">
        <v>3616214</v>
      </c>
      <c r="N18" s="109">
        <v>3622013</v>
      </c>
      <c r="O18" s="109">
        <v>3617503</v>
      </c>
      <c r="P18" s="68"/>
    </row>
    <row r="19" spans="1:17" x14ac:dyDescent="0.2">
      <c r="A19" s="101">
        <v>15</v>
      </c>
      <c r="B19" s="102" t="s">
        <v>199</v>
      </c>
      <c r="C19" s="103" t="s">
        <v>191</v>
      </c>
      <c r="D19" s="104">
        <v>3335267</v>
      </c>
      <c r="E19" s="104">
        <v>3328111</v>
      </c>
      <c r="F19" s="104">
        <v>3340753</v>
      </c>
      <c r="G19" s="104">
        <v>3232456</v>
      </c>
      <c r="H19" s="104">
        <f>3301735-4552</f>
        <v>3297183</v>
      </c>
      <c r="I19" s="104">
        <v>3331230</v>
      </c>
      <c r="J19" s="104">
        <v>3249594</v>
      </c>
      <c r="K19" s="104">
        <v>3176161</v>
      </c>
      <c r="L19" s="104">
        <v>3379038</v>
      </c>
      <c r="M19" s="104">
        <v>3188991</v>
      </c>
      <c r="N19" s="104">
        <v>3189635</v>
      </c>
      <c r="O19" s="104">
        <v>3163590</v>
      </c>
      <c r="P19" s="68"/>
      <c r="Q19" s="68"/>
    </row>
    <row r="20" spans="1:17" s="67" customFormat="1" x14ac:dyDescent="0.2">
      <c r="A20" s="106">
        <v>16</v>
      </c>
      <c r="B20" s="107" t="s">
        <v>200</v>
      </c>
      <c r="C20" s="108" t="s">
        <v>191</v>
      </c>
      <c r="D20" s="109">
        <f>SUM(329546+71297+70861+154920-40700+445732+320)</f>
        <v>1031976</v>
      </c>
      <c r="E20" s="109">
        <f>SUM(461082+280078+81193+8852+123936-73150+445732+345)</f>
        <v>1328068</v>
      </c>
      <c r="F20" s="109">
        <f>SUM(544299+174126+98971+17704+113608-33150+445732+236)</f>
        <v>1361526</v>
      </c>
      <c r="G20" s="109">
        <f>SUM(582596+121440+121005+37500+21000+8852+8852+123936+14000-21450+445732+77)</f>
        <v>1463540</v>
      </c>
      <c r="H20" s="109">
        <f>SUM(758487+313986+146701+37500+21000+8852+144592+14000+445732+395)</f>
        <v>1891245</v>
      </c>
      <c r="I20" s="109">
        <f>SUM(741942+293528+169381+56250+31500+8852+8852+185904+21000+445732+541)</f>
        <v>1963482</v>
      </c>
      <c r="J20" s="109">
        <f>SUM(765402+249697+201224+75000+42000+8852+165248+28000-21500+445732+350)</f>
        <v>1960005</v>
      </c>
      <c r="K20" s="109">
        <f>SUM(830907+385632+224356+75000+42000+154920+28000-10250+445732+450)</f>
        <v>2176747</v>
      </c>
      <c r="L20" s="109">
        <f>SUM(749858+290021+208024+75000+42000+123936+28000-1250+385258+220)</f>
        <v>1901067</v>
      </c>
      <c r="M20" s="109">
        <f>SUM(741750+504607+188709+94250+42000+103280+28000+333563+403)</f>
        <v>2036562</v>
      </c>
      <c r="N20" s="109">
        <f>SUM(868538+407830+217018+75000+52500+8852+8852+113608+35000+333563+234)</f>
        <v>2120995</v>
      </c>
      <c r="O20" s="109">
        <f>SUM(874990+446209+221579+38500+17704+103280-15200+333563+284)</f>
        <v>2020909</v>
      </c>
      <c r="Q20" s="79"/>
    </row>
    <row r="21" spans="1:17" x14ac:dyDescent="0.2">
      <c r="A21" s="101">
        <v>17</v>
      </c>
      <c r="B21" s="102" t="s">
        <v>201</v>
      </c>
      <c r="C21" s="103" t="s">
        <v>191</v>
      </c>
      <c r="D21" s="104">
        <f>SUM(100120+29095+10249+30984-28200+123)</f>
        <v>142371</v>
      </c>
      <c r="E21" s="104">
        <f>SUM(175102+267229+3987+10328-40000+63)</f>
        <v>416709</v>
      </c>
      <c r="F21" s="104">
        <f>SUM(207480+174078+1636+8852+10328-33150+37)</f>
        <v>369261</v>
      </c>
      <c r="G21" s="104">
        <f>SUM(168942+103155+2365+18750+10500+8852+10328-21450-64)</f>
        <v>301378</v>
      </c>
      <c r="H21" s="104">
        <f>SUM(313163+296920+7563+10328+64)</f>
        <v>628038</v>
      </c>
      <c r="I21" s="104">
        <f>SUM(247626+273049+1495+8852+30984+231)</f>
        <v>562237</v>
      </c>
      <c r="J21" s="104">
        <f>SUM(276838+220352+10209+8852+20656-650+30)</f>
        <v>536287</v>
      </c>
      <c r="K21" s="104">
        <f>SUM(358961+355397+44802+30984-9000+60474+182)</f>
        <v>841800</v>
      </c>
      <c r="L21" s="104">
        <f>SUM(347482+245410+42949+20656+51695-19)</f>
        <v>708173</v>
      </c>
      <c r="M21" s="104">
        <f>SUM(294243+443300+108+19250+135)</f>
        <v>757036</v>
      </c>
      <c r="N21" s="104">
        <f>SUM(412214+369821+21181+75000+52500+8852+10328-21)</f>
        <v>949875</v>
      </c>
      <c r="O21" s="104">
        <f>SUM(471763+396676+35444+38500+8852+11895-15200+33340+74)</f>
        <v>981344</v>
      </c>
    </row>
    <row r="22" spans="1:17" s="67" customFormat="1" x14ac:dyDescent="0.2">
      <c r="A22" s="106">
        <v>18</v>
      </c>
      <c r="B22" s="107" t="s">
        <v>202</v>
      </c>
      <c r="C22" s="108" t="s">
        <v>191</v>
      </c>
      <c r="D22" s="109">
        <f>SUM(177862+60123)</f>
        <v>237985</v>
      </c>
      <c r="E22" s="109">
        <f>SUM(287371+254954)</f>
        <v>542325</v>
      </c>
      <c r="F22" s="109">
        <f>SUM(300350+111459)</f>
        <v>411809</v>
      </c>
      <c r="G22" s="109">
        <f>SUM(327958+79167)</f>
        <v>407125</v>
      </c>
      <c r="H22" s="109">
        <f>SUM(430857+203133)</f>
        <v>633990</v>
      </c>
      <c r="I22" s="109">
        <f>SUM(418544+189139)</f>
        <v>607683</v>
      </c>
      <c r="J22" s="109">
        <f>SUM(432948+161423)</f>
        <v>594371</v>
      </c>
      <c r="K22" s="109">
        <f>SUM(461187+242786)</f>
        <v>703973</v>
      </c>
      <c r="L22" s="109">
        <f>SUM(418032+186723)</f>
        <v>604755</v>
      </c>
      <c r="M22" s="109">
        <f>SUM(393851+320881)</f>
        <v>714732</v>
      </c>
      <c r="N22" s="109">
        <f>SUM(464941+259289)</f>
        <v>724230</v>
      </c>
      <c r="O22" s="109">
        <f>SUM(471386+282204)</f>
        <v>753590</v>
      </c>
    </row>
    <row r="23" spans="1:17" x14ac:dyDescent="0.2">
      <c r="A23" s="101">
        <v>19</v>
      </c>
      <c r="B23" s="102" t="s">
        <v>203</v>
      </c>
      <c r="C23" s="103" t="s">
        <v>191</v>
      </c>
      <c r="D23" s="104">
        <f>SUM(59241+22456)</f>
        <v>81697</v>
      </c>
      <c r="E23" s="104">
        <f>SUM(136303+243544)</f>
        <v>379847</v>
      </c>
      <c r="F23" s="104">
        <f>SUM(120939+110446)</f>
        <v>231385</v>
      </c>
      <c r="G23" s="104">
        <f>SUM(103799+66412+7000)</f>
        <v>177211</v>
      </c>
      <c r="H23" s="104">
        <f>SUM(189296+191480)</f>
        <v>380776</v>
      </c>
      <c r="I23" s="104">
        <f>SUM(149460+175289)</f>
        <v>324749</v>
      </c>
      <c r="J23" s="104">
        <f>SUM(170069+141864)</f>
        <v>311933</v>
      </c>
      <c r="K23" s="104">
        <f>SUM(211207+223319)</f>
        <v>434526</v>
      </c>
      <c r="L23" s="104">
        <f>SUM(227412+158000)</f>
        <v>385412</v>
      </c>
      <c r="M23" s="104">
        <f>SUM(178078+281408)</f>
        <v>459486</v>
      </c>
      <c r="N23" s="104">
        <f>SUM(243990+234817+35000)</f>
        <v>513807</v>
      </c>
      <c r="O23" s="104">
        <f>SUM(269939+250313)</f>
        <v>520252</v>
      </c>
    </row>
    <row r="24" spans="1:17" s="67" customFormat="1" x14ac:dyDescent="0.2">
      <c r="A24" s="106">
        <v>20</v>
      </c>
      <c r="B24" s="107" t="s">
        <v>204</v>
      </c>
      <c r="C24" s="108" t="s">
        <v>191</v>
      </c>
      <c r="D24" s="109">
        <f>SUM(347904+22168+3317)</f>
        <v>373389</v>
      </c>
      <c r="E24" s="109">
        <f>SUM(430636+22168+3317)</f>
        <v>456121</v>
      </c>
      <c r="F24" s="109">
        <f>SUM(491626+22168+3317)</f>
        <v>517111</v>
      </c>
      <c r="G24" s="109">
        <f>SUM(533100+22168+3317)</f>
        <v>558585</v>
      </c>
      <c r="H24" s="109">
        <f>SUM(728080+22168+3317)</f>
        <v>753565</v>
      </c>
      <c r="I24" s="109">
        <f>SUM(689900+22168+3317)</f>
        <v>715385</v>
      </c>
      <c r="J24" s="109">
        <f>707789+22168+3317</f>
        <v>733274</v>
      </c>
      <c r="K24" s="109">
        <f>748610+22168+3317</f>
        <v>774095</v>
      </c>
      <c r="L24" s="109">
        <f>(641343+22168+3317)</f>
        <v>666828</v>
      </c>
      <c r="M24" s="109">
        <f>(634152+13637+3317)</f>
        <v>651106</v>
      </c>
      <c r="N24" s="109">
        <f>(741621+13637+3317)</f>
        <v>758575</v>
      </c>
      <c r="O24" s="109">
        <f>(764997+13637+3317)</f>
        <v>781951</v>
      </c>
    </row>
    <row r="25" spans="1:17" x14ac:dyDescent="0.2">
      <c r="A25" s="101">
        <v>21</v>
      </c>
      <c r="B25" s="102" t="s">
        <v>205</v>
      </c>
      <c r="C25" s="103" t="s">
        <v>191</v>
      </c>
      <c r="D25" s="104">
        <v>156182</v>
      </c>
      <c r="E25" s="104">
        <v>200908</v>
      </c>
      <c r="F25" s="104">
        <v>216437</v>
      </c>
      <c r="G25" s="104">
        <v>175661</v>
      </c>
      <c r="H25" s="104">
        <v>345436</v>
      </c>
      <c r="I25" s="104">
        <v>263714</v>
      </c>
      <c r="J25" s="104">
        <v>300930</v>
      </c>
      <c r="K25" s="104">
        <v>400126</v>
      </c>
      <c r="L25" s="104">
        <v>369931</v>
      </c>
      <c r="M25" s="104">
        <v>319728</v>
      </c>
      <c r="N25" s="104">
        <v>408954</v>
      </c>
      <c r="O25" s="104">
        <v>438433</v>
      </c>
    </row>
    <row r="26" spans="1:17" s="67" customFormat="1" x14ac:dyDescent="0.2">
      <c r="A26" s="106">
        <v>22</v>
      </c>
      <c r="B26" s="107" t="s">
        <v>206</v>
      </c>
      <c r="C26" s="108" t="s">
        <v>191</v>
      </c>
      <c r="D26" s="116">
        <f t="shared" ref="D26:D31" si="2">+D14+D20</f>
        <v>9878462</v>
      </c>
      <c r="E26" s="116">
        <f t="shared" ref="E26:O31" si="3">+E14+E20</f>
        <v>7642569</v>
      </c>
      <c r="F26" s="116">
        <f t="shared" si="3"/>
        <v>7797505</v>
      </c>
      <c r="G26" s="116">
        <f t="shared" si="3"/>
        <v>8752113</v>
      </c>
      <c r="H26" s="116">
        <f t="shared" si="3"/>
        <v>8938941</v>
      </c>
      <c r="I26" s="116">
        <f t="shared" ref="I26" si="4">+I14+I20</f>
        <v>8986917</v>
      </c>
      <c r="J26" s="116">
        <f t="shared" si="3"/>
        <v>9567793</v>
      </c>
      <c r="K26" s="116">
        <f t="shared" si="3"/>
        <v>9265913</v>
      </c>
      <c r="L26" s="116">
        <f t="shared" si="3"/>
        <v>9905099</v>
      </c>
      <c r="M26" s="116">
        <f t="shared" si="3"/>
        <v>8669248</v>
      </c>
      <c r="N26" s="116">
        <f t="shared" si="3"/>
        <v>9059010</v>
      </c>
      <c r="O26" s="116">
        <f t="shared" si="3"/>
        <v>8517476</v>
      </c>
    </row>
    <row r="27" spans="1:17" x14ac:dyDescent="0.2">
      <c r="A27" s="101">
        <v>23</v>
      </c>
      <c r="B27" s="102" t="s">
        <v>207</v>
      </c>
      <c r="C27" s="103" t="s">
        <v>191</v>
      </c>
      <c r="D27" s="116">
        <f t="shared" si="2"/>
        <v>8494055</v>
      </c>
      <c r="E27" s="116">
        <f t="shared" si="3"/>
        <v>6297950</v>
      </c>
      <c r="F27" s="116">
        <f t="shared" si="3"/>
        <v>6332042</v>
      </c>
      <c r="G27" s="116">
        <f t="shared" si="3"/>
        <v>6865950</v>
      </c>
      <c r="H27" s="116">
        <f t="shared" si="3"/>
        <v>6982511</v>
      </c>
      <c r="I27" s="116">
        <f t="shared" ref="I27" si="5">+I15+I21</f>
        <v>7026643</v>
      </c>
      <c r="J27" s="116">
        <f t="shared" si="3"/>
        <v>7398393</v>
      </c>
      <c r="K27" s="116">
        <f t="shared" si="3"/>
        <v>7056226</v>
      </c>
      <c r="L27" s="116">
        <f t="shared" si="3"/>
        <v>8186992</v>
      </c>
      <c r="M27" s="116">
        <f t="shared" si="3"/>
        <v>6555279</v>
      </c>
      <c r="N27" s="116">
        <f t="shared" si="3"/>
        <v>6997241</v>
      </c>
      <c r="O27" s="116">
        <f t="shared" si="3"/>
        <v>6643406</v>
      </c>
    </row>
    <row r="28" spans="1:17" s="67" customFormat="1" x14ac:dyDescent="0.2">
      <c r="A28" s="106">
        <v>24</v>
      </c>
      <c r="B28" s="107" t="s">
        <v>208</v>
      </c>
      <c r="C28" s="108" t="s">
        <v>191</v>
      </c>
      <c r="D28" s="116">
        <f t="shared" si="2"/>
        <v>7165529</v>
      </c>
      <c r="E28" s="116">
        <f t="shared" si="3"/>
        <v>4302828</v>
      </c>
      <c r="F28" s="116">
        <f t="shared" si="3"/>
        <v>4138749</v>
      </c>
      <c r="G28" s="116">
        <f t="shared" si="3"/>
        <v>4694917</v>
      </c>
      <c r="H28" s="116">
        <f t="shared" si="3"/>
        <v>4706203</v>
      </c>
      <c r="I28" s="116">
        <f t="shared" ref="I28" si="6">+I16+I22</f>
        <v>4620280</v>
      </c>
      <c r="J28" s="116">
        <f t="shared" si="3"/>
        <v>5045310</v>
      </c>
      <c r="K28" s="116">
        <f t="shared" si="3"/>
        <v>4828994</v>
      </c>
      <c r="L28" s="116">
        <f t="shared" si="3"/>
        <v>5283919</v>
      </c>
      <c r="M28" s="116">
        <f t="shared" si="3"/>
        <v>4515382</v>
      </c>
      <c r="N28" s="116">
        <f t="shared" si="3"/>
        <v>4749052</v>
      </c>
      <c r="O28" s="116">
        <f t="shared" si="3"/>
        <v>4508220</v>
      </c>
    </row>
    <row r="29" spans="1:17" x14ac:dyDescent="0.2">
      <c r="A29" s="101">
        <v>25</v>
      </c>
      <c r="B29" s="102" t="s">
        <v>209</v>
      </c>
      <c r="C29" s="103" t="s">
        <v>191</v>
      </c>
      <c r="D29" s="116">
        <f t="shared" si="2"/>
        <v>6643596</v>
      </c>
      <c r="E29" s="116">
        <f t="shared" si="3"/>
        <v>3905681</v>
      </c>
      <c r="F29" s="116">
        <f t="shared" si="3"/>
        <v>3721118</v>
      </c>
      <c r="G29" s="116">
        <f t="shared" si="3"/>
        <v>4063983</v>
      </c>
      <c r="H29" s="116">
        <f t="shared" si="3"/>
        <v>4091520</v>
      </c>
      <c r="I29" s="116">
        <f t="shared" ref="I29" si="7">+I17+I23</f>
        <v>4021713</v>
      </c>
      <c r="J29" s="116">
        <f t="shared" si="3"/>
        <v>4338533</v>
      </c>
      <c r="K29" s="116">
        <f t="shared" si="3"/>
        <v>4050087</v>
      </c>
      <c r="L29" s="116">
        <f t="shared" si="3"/>
        <v>4743339</v>
      </c>
      <c r="M29" s="116">
        <f t="shared" si="3"/>
        <v>3784152</v>
      </c>
      <c r="N29" s="116">
        <f t="shared" si="3"/>
        <v>4036370</v>
      </c>
      <c r="O29" s="116">
        <f t="shared" si="3"/>
        <v>3813471</v>
      </c>
    </row>
    <row r="30" spans="1:17" s="67" customFormat="1" x14ac:dyDescent="0.2">
      <c r="A30" s="106">
        <v>26</v>
      </c>
      <c r="B30" s="107" t="s">
        <v>210</v>
      </c>
      <c r="C30" s="108" t="s">
        <v>191</v>
      </c>
      <c r="D30" s="116">
        <f t="shared" si="2"/>
        <v>3947673</v>
      </c>
      <c r="E30" s="116">
        <f t="shared" si="3"/>
        <v>4041649</v>
      </c>
      <c r="F30" s="116">
        <f t="shared" si="3"/>
        <v>4115846</v>
      </c>
      <c r="G30" s="116">
        <f t="shared" si="3"/>
        <v>4157320</v>
      </c>
      <c r="H30" s="116">
        <f t="shared" si="3"/>
        <v>4358056</v>
      </c>
      <c r="I30" s="116">
        <f t="shared" ref="I30" si="8">+I18+I24</f>
        <v>4323753</v>
      </c>
      <c r="J30" s="116">
        <f t="shared" si="3"/>
        <v>4329162</v>
      </c>
      <c r="K30" s="116">
        <f t="shared" si="3"/>
        <v>4374493</v>
      </c>
      <c r="L30" s="116">
        <f t="shared" si="3"/>
        <v>4278532</v>
      </c>
      <c r="M30" s="116">
        <f t="shared" si="3"/>
        <v>4267320</v>
      </c>
      <c r="N30" s="116">
        <f t="shared" si="3"/>
        <v>4380588</v>
      </c>
      <c r="O30" s="116">
        <f t="shared" si="3"/>
        <v>4399454</v>
      </c>
    </row>
    <row r="31" spans="1:17" x14ac:dyDescent="0.2">
      <c r="A31" s="101">
        <v>27</v>
      </c>
      <c r="B31" s="102" t="s">
        <v>211</v>
      </c>
      <c r="C31" s="103" t="s">
        <v>191</v>
      </c>
      <c r="D31" s="116">
        <f t="shared" si="2"/>
        <v>3491449</v>
      </c>
      <c r="E31" s="116">
        <f t="shared" si="3"/>
        <v>3529019</v>
      </c>
      <c r="F31" s="116">
        <f t="shared" si="3"/>
        <v>3557190</v>
      </c>
      <c r="G31" s="116">
        <f t="shared" si="3"/>
        <v>3408117</v>
      </c>
      <c r="H31" s="116">
        <f t="shared" si="3"/>
        <v>3642619</v>
      </c>
      <c r="I31" s="116">
        <f t="shared" ref="I31" si="9">+I19+I25</f>
        <v>3594944</v>
      </c>
      <c r="J31" s="116">
        <f t="shared" si="3"/>
        <v>3550524</v>
      </c>
      <c r="K31" s="116">
        <f t="shared" si="3"/>
        <v>3576287</v>
      </c>
      <c r="L31" s="116">
        <f t="shared" si="3"/>
        <v>3748969</v>
      </c>
      <c r="M31" s="116">
        <f t="shared" si="3"/>
        <v>3508719</v>
      </c>
      <c r="N31" s="116">
        <f t="shared" si="3"/>
        <v>3598589</v>
      </c>
      <c r="O31" s="116">
        <f t="shared" si="3"/>
        <v>3602023</v>
      </c>
    </row>
    <row r="32" spans="1:17" x14ac:dyDescent="0.2">
      <c r="A32" s="101">
        <v>28</v>
      </c>
      <c r="B32" s="107" t="s">
        <v>212</v>
      </c>
      <c r="C32" s="108" t="s">
        <v>191</v>
      </c>
      <c r="D32" s="116">
        <f t="shared" ref="D32" si="10">+D26+D28+D30</f>
        <v>20991664</v>
      </c>
      <c r="E32" s="116">
        <f t="shared" ref="E32:O32" si="11">+E26+E28+E30</f>
        <v>15987046</v>
      </c>
      <c r="F32" s="116">
        <f t="shared" si="11"/>
        <v>16052100</v>
      </c>
      <c r="G32" s="116">
        <f t="shared" si="11"/>
        <v>17604350</v>
      </c>
      <c r="H32" s="116">
        <f t="shared" si="11"/>
        <v>18003200</v>
      </c>
      <c r="I32" s="116">
        <f t="shared" ref="I32" si="12">+I26+I28+I30</f>
        <v>17930950</v>
      </c>
      <c r="J32" s="116">
        <f t="shared" si="11"/>
        <v>18942265</v>
      </c>
      <c r="K32" s="116">
        <f t="shared" si="11"/>
        <v>18469400</v>
      </c>
      <c r="L32" s="116">
        <f t="shared" si="11"/>
        <v>19467550</v>
      </c>
      <c r="M32" s="116">
        <f t="shared" si="11"/>
        <v>17451950</v>
      </c>
      <c r="N32" s="116">
        <f t="shared" si="11"/>
        <v>18188650</v>
      </c>
      <c r="O32" s="116">
        <f t="shared" si="11"/>
        <v>17425150</v>
      </c>
    </row>
    <row r="33" spans="1:15" ht="15" customHeight="1" x14ac:dyDescent="0.2">
      <c r="A33" s="101">
        <v>29</v>
      </c>
      <c r="B33" s="102" t="s">
        <v>213</v>
      </c>
      <c r="C33" s="103" t="s">
        <v>191</v>
      </c>
      <c r="D33" s="116">
        <f t="shared" ref="D33" si="13">+D31+D29+D27</f>
        <v>18629100</v>
      </c>
      <c r="E33" s="116">
        <f t="shared" ref="E33:O33" si="14">+E31+E29+E27</f>
        <v>13732650</v>
      </c>
      <c r="F33" s="116">
        <f t="shared" si="14"/>
        <v>13610350</v>
      </c>
      <c r="G33" s="116">
        <f t="shared" si="14"/>
        <v>14338050</v>
      </c>
      <c r="H33" s="116">
        <f t="shared" si="14"/>
        <v>14716650</v>
      </c>
      <c r="I33" s="116">
        <f t="shared" ref="I33" si="15">+I31+I29+I27</f>
        <v>14643300</v>
      </c>
      <c r="J33" s="116">
        <f t="shared" si="14"/>
        <v>15287450</v>
      </c>
      <c r="K33" s="116">
        <f t="shared" si="14"/>
        <v>14682600</v>
      </c>
      <c r="L33" s="116">
        <f t="shared" si="14"/>
        <v>16679300</v>
      </c>
      <c r="M33" s="116">
        <f t="shared" si="14"/>
        <v>13848150</v>
      </c>
      <c r="N33" s="116">
        <f t="shared" si="14"/>
        <v>14632200</v>
      </c>
      <c r="O33" s="116">
        <f t="shared" si="14"/>
        <v>14058900</v>
      </c>
    </row>
    <row r="34" spans="1:15" s="67" customFormat="1" ht="15" customHeight="1" x14ac:dyDescent="0.2">
      <c r="A34" s="106">
        <v>30</v>
      </c>
      <c r="B34" s="107" t="s">
        <v>214</v>
      </c>
      <c r="C34" s="108" t="s">
        <v>215</v>
      </c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</row>
    <row r="35" spans="1:15" ht="12.75" customHeight="1" x14ac:dyDescent="0.2">
      <c r="A35" s="101">
        <v>31</v>
      </c>
      <c r="B35" s="102" t="s">
        <v>216</v>
      </c>
      <c r="C35" s="103" t="s">
        <v>215</v>
      </c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</row>
    <row r="36" spans="1:15" s="76" customFormat="1" x14ac:dyDescent="0.2">
      <c r="A36" s="106">
        <v>32</v>
      </c>
      <c r="B36" s="107" t="s">
        <v>217</v>
      </c>
      <c r="C36" s="108"/>
      <c r="D36" s="117">
        <v>31.87</v>
      </c>
      <c r="E36" s="117">
        <v>18.54</v>
      </c>
      <c r="F36" s="117">
        <v>17.079999999999998</v>
      </c>
      <c r="G36" s="117">
        <v>10.32</v>
      </c>
      <c r="H36" s="117">
        <v>25.88</v>
      </c>
      <c r="I36" s="117">
        <v>25.58</v>
      </c>
      <c r="J36" s="117">
        <v>32.28</v>
      </c>
      <c r="K36" s="117">
        <v>27.58</v>
      </c>
      <c r="L36" s="117">
        <v>23.44</v>
      </c>
      <c r="M36" s="117">
        <v>26.39</v>
      </c>
      <c r="N36" s="117">
        <v>26.57</v>
      </c>
      <c r="O36" s="117">
        <v>28.18</v>
      </c>
    </row>
    <row r="37" spans="1:15" s="76" customFormat="1" x14ac:dyDescent="0.2">
      <c r="A37" s="101">
        <v>33</v>
      </c>
      <c r="B37" s="119" t="s">
        <v>133</v>
      </c>
      <c r="C37" s="120"/>
      <c r="D37" s="121">
        <f>+D32-D33</f>
        <v>2362564</v>
      </c>
      <c r="E37" s="121">
        <f t="shared" ref="E37:O37" si="16">+E32-E33</f>
        <v>2254396</v>
      </c>
      <c r="F37" s="121">
        <f t="shared" si="16"/>
        <v>2441750</v>
      </c>
      <c r="G37" s="121">
        <f t="shared" si="16"/>
        <v>3266300</v>
      </c>
      <c r="H37" s="121">
        <f t="shared" si="16"/>
        <v>3286550</v>
      </c>
      <c r="I37" s="121">
        <f t="shared" si="16"/>
        <v>3287650</v>
      </c>
      <c r="J37" s="121">
        <f t="shared" si="16"/>
        <v>3654815</v>
      </c>
      <c r="K37" s="121">
        <f t="shared" si="16"/>
        <v>3786800</v>
      </c>
      <c r="L37" s="121">
        <f t="shared" si="16"/>
        <v>2788250</v>
      </c>
      <c r="M37" s="121">
        <f t="shared" si="16"/>
        <v>3603800</v>
      </c>
      <c r="N37" s="121">
        <f t="shared" si="16"/>
        <v>3556450</v>
      </c>
      <c r="O37" s="121">
        <f t="shared" si="16"/>
        <v>3366250</v>
      </c>
    </row>
    <row r="38" spans="1:15" s="76" customFormat="1" x14ac:dyDescent="0.2">
      <c r="A38" s="106">
        <v>34</v>
      </c>
      <c r="B38" s="107" t="s">
        <v>139</v>
      </c>
      <c r="C38" s="108"/>
      <c r="D38" s="117">
        <v>775</v>
      </c>
      <c r="E38" s="117">
        <v>770</v>
      </c>
      <c r="F38" s="117">
        <v>781</v>
      </c>
      <c r="G38" s="117">
        <v>780</v>
      </c>
      <c r="H38" s="117">
        <v>769</v>
      </c>
      <c r="I38" s="117">
        <v>774</v>
      </c>
      <c r="J38" s="117">
        <v>778</v>
      </c>
      <c r="K38" s="117">
        <v>773</v>
      </c>
      <c r="L38" s="117">
        <v>782</v>
      </c>
      <c r="M38" s="117">
        <v>792</v>
      </c>
      <c r="N38" s="117">
        <v>779</v>
      </c>
      <c r="O38" s="117">
        <v>762</v>
      </c>
    </row>
    <row r="39" spans="1:15" s="76" customFormat="1" x14ac:dyDescent="0.2">
      <c r="A39" s="101">
        <v>35</v>
      </c>
      <c r="B39" s="119" t="s">
        <v>260</v>
      </c>
      <c r="C39" s="103"/>
      <c r="D39" s="122" t="s">
        <v>262</v>
      </c>
      <c r="E39" s="122" t="s">
        <v>262</v>
      </c>
      <c r="F39" s="122" t="s">
        <v>262</v>
      </c>
      <c r="G39" s="122" t="s">
        <v>262</v>
      </c>
      <c r="H39" s="122" t="s">
        <v>262</v>
      </c>
      <c r="I39" s="122" t="s">
        <v>262</v>
      </c>
      <c r="J39" s="122" t="s">
        <v>262</v>
      </c>
      <c r="K39" s="122" t="s">
        <v>262</v>
      </c>
      <c r="L39" s="122" t="s">
        <v>262</v>
      </c>
      <c r="M39" s="122" t="s">
        <v>262</v>
      </c>
      <c r="N39" s="122" t="s">
        <v>262</v>
      </c>
      <c r="O39" s="122" t="s">
        <v>262</v>
      </c>
    </row>
    <row r="40" spans="1:15" s="67" customFormat="1" x14ac:dyDescent="0.2">
      <c r="A40" s="106">
        <v>36</v>
      </c>
      <c r="B40" s="107" t="s">
        <v>261</v>
      </c>
      <c r="C40" s="108"/>
      <c r="D40" s="117">
        <v>3</v>
      </c>
      <c r="E40" s="117">
        <v>8</v>
      </c>
      <c r="F40" s="117">
        <v>4</v>
      </c>
      <c r="G40" s="117">
        <v>0</v>
      </c>
      <c r="H40" s="117">
        <v>0</v>
      </c>
      <c r="I40" s="117">
        <v>3</v>
      </c>
      <c r="J40" s="117">
        <v>1</v>
      </c>
      <c r="K40" s="117">
        <v>2</v>
      </c>
      <c r="L40" s="117">
        <v>0</v>
      </c>
      <c r="M40" s="117">
        <v>0</v>
      </c>
      <c r="N40" s="117">
        <v>3</v>
      </c>
      <c r="O40" s="117">
        <v>2</v>
      </c>
    </row>
    <row r="41" spans="1:15" s="67" customFormat="1" x14ac:dyDescent="0.2">
      <c r="A41" s="83"/>
      <c r="B41" s="84"/>
      <c r="C41" s="85"/>
      <c r="D41" s="95"/>
      <c r="E41" s="91"/>
      <c r="F41" s="91"/>
      <c r="G41" s="91"/>
      <c r="H41" s="96"/>
      <c r="I41" s="96"/>
      <c r="J41" s="96"/>
      <c r="K41" s="96"/>
      <c r="L41" s="96"/>
      <c r="M41" s="96"/>
      <c r="N41" s="96"/>
      <c r="O41" s="96"/>
    </row>
    <row r="42" spans="1:15" x14ac:dyDescent="0.2">
      <c r="A42" s="101"/>
      <c r="B42" s="119" t="s">
        <v>32</v>
      </c>
      <c r="C42" s="103"/>
      <c r="D42" s="123">
        <f>+D4</f>
        <v>43101</v>
      </c>
      <c r="E42" s="123">
        <f t="shared" ref="E42:G42" si="17">+E4</f>
        <v>43132</v>
      </c>
      <c r="F42" s="123">
        <f t="shared" si="17"/>
        <v>43163</v>
      </c>
      <c r="G42" s="123">
        <f t="shared" si="17"/>
        <v>43194</v>
      </c>
      <c r="H42" s="123">
        <f>+H4</f>
        <v>43225</v>
      </c>
      <c r="I42" s="123">
        <f t="shared" ref="I42:O42" si="18">+I4</f>
        <v>43256</v>
      </c>
      <c r="J42" s="123">
        <f t="shared" si="18"/>
        <v>43287</v>
      </c>
      <c r="K42" s="123">
        <f t="shared" si="18"/>
        <v>43318</v>
      </c>
      <c r="L42" s="123">
        <f t="shared" si="18"/>
        <v>43349</v>
      </c>
      <c r="M42" s="123">
        <f t="shared" si="18"/>
        <v>43380</v>
      </c>
      <c r="N42" s="123">
        <f t="shared" si="18"/>
        <v>43411</v>
      </c>
      <c r="O42" s="123">
        <f t="shared" si="18"/>
        <v>43442</v>
      </c>
    </row>
    <row r="43" spans="1:15" x14ac:dyDescent="0.2">
      <c r="A43" s="106"/>
      <c r="B43" s="107" t="s">
        <v>218</v>
      </c>
      <c r="C43" s="108"/>
      <c r="D43" s="124">
        <f t="shared" ref="D43:O44" si="19">+D14+D16+D18</f>
        <v>19348314</v>
      </c>
      <c r="E43" s="124">
        <f t="shared" si="19"/>
        <v>13660532</v>
      </c>
      <c r="F43" s="124">
        <f t="shared" si="19"/>
        <v>13761654</v>
      </c>
      <c r="G43" s="124">
        <f t="shared" si="19"/>
        <v>15175100</v>
      </c>
      <c r="H43" s="124">
        <f t="shared" si="19"/>
        <v>14724400</v>
      </c>
      <c r="I43" s="124">
        <f t="shared" si="19"/>
        <v>14644400</v>
      </c>
      <c r="J43" s="124">
        <f t="shared" si="19"/>
        <v>15654615</v>
      </c>
      <c r="K43" s="124">
        <f t="shared" si="19"/>
        <v>14814585</v>
      </c>
      <c r="L43" s="124">
        <f t="shared" si="19"/>
        <v>16294900</v>
      </c>
      <c r="M43" s="124">
        <f t="shared" si="19"/>
        <v>14049550</v>
      </c>
      <c r="N43" s="124">
        <f t="shared" si="19"/>
        <v>14584850</v>
      </c>
      <c r="O43" s="124">
        <f t="shared" si="19"/>
        <v>13868700</v>
      </c>
    </row>
    <row r="44" spans="1:15" x14ac:dyDescent="0.2">
      <c r="A44" s="101"/>
      <c r="B44" s="119" t="s">
        <v>219</v>
      </c>
      <c r="C44" s="103"/>
      <c r="D44" s="124">
        <f t="shared" si="19"/>
        <v>18248850</v>
      </c>
      <c r="E44" s="124">
        <f t="shared" si="19"/>
        <v>12735186</v>
      </c>
      <c r="F44" s="124">
        <f t="shared" si="19"/>
        <v>12793267</v>
      </c>
      <c r="G44" s="124">
        <f t="shared" si="19"/>
        <v>13683800</v>
      </c>
      <c r="H44" s="124">
        <f t="shared" si="19"/>
        <v>13362400</v>
      </c>
      <c r="I44" s="124">
        <f>+I16+I17+I19</f>
        <v>11040791</v>
      </c>
      <c r="J44" s="124">
        <f t="shared" si="19"/>
        <v>14138300</v>
      </c>
      <c r="K44" s="124">
        <f t="shared" si="19"/>
        <v>13006148</v>
      </c>
      <c r="L44" s="124">
        <f t="shared" si="19"/>
        <v>15215784</v>
      </c>
      <c r="M44" s="124">
        <f t="shared" si="19"/>
        <v>12311900</v>
      </c>
      <c r="N44" s="124">
        <f t="shared" si="19"/>
        <v>12759564</v>
      </c>
      <c r="O44" s="124">
        <f t="shared" si="19"/>
        <v>12118871</v>
      </c>
    </row>
    <row r="45" spans="1:15" x14ac:dyDescent="0.2">
      <c r="A45" s="106"/>
      <c r="B45" s="107" t="s">
        <v>32</v>
      </c>
      <c r="C45" s="108"/>
      <c r="D45" s="123">
        <f>+D42</f>
        <v>43101</v>
      </c>
      <c r="E45" s="123">
        <f t="shared" ref="E45:O45" si="20">+E42</f>
        <v>43132</v>
      </c>
      <c r="F45" s="123">
        <f t="shared" si="20"/>
        <v>43163</v>
      </c>
      <c r="G45" s="123">
        <f t="shared" si="20"/>
        <v>43194</v>
      </c>
      <c r="H45" s="123">
        <f t="shared" si="20"/>
        <v>43225</v>
      </c>
      <c r="I45" s="123">
        <f t="shared" si="20"/>
        <v>43256</v>
      </c>
      <c r="J45" s="123">
        <f t="shared" si="20"/>
        <v>43287</v>
      </c>
      <c r="K45" s="123">
        <f t="shared" si="20"/>
        <v>43318</v>
      </c>
      <c r="L45" s="123">
        <f t="shared" si="20"/>
        <v>43349</v>
      </c>
      <c r="M45" s="123">
        <f t="shared" si="20"/>
        <v>43380</v>
      </c>
      <c r="N45" s="123">
        <f t="shared" si="20"/>
        <v>43411</v>
      </c>
      <c r="O45" s="123">
        <f t="shared" si="20"/>
        <v>43442</v>
      </c>
    </row>
    <row r="46" spans="1:15" x14ac:dyDescent="0.2">
      <c r="A46" s="101"/>
      <c r="B46" s="119" t="s">
        <v>220</v>
      </c>
      <c r="C46" s="103"/>
      <c r="D46" s="124">
        <f t="shared" ref="D46:O47" si="21">+D20+D22+D24</f>
        <v>1643350</v>
      </c>
      <c r="E46" s="124">
        <f t="shared" si="21"/>
        <v>2326514</v>
      </c>
      <c r="F46" s="124">
        <f t="shared" si="21"/>
        <v>2290446</v>
      </c>
      <c r="G46" s="124">
        <f t="shared" si="21"/>
        <v>2429250</v>
      </c>
      <c r="H46" s="124">
        <f t="shared" si="21"/>
        <v>3278800</v>
      </c>
      <c r="I46" s="124">
        <f t="shared" si="21"/>
        <v>3286550</v>
      </c>
      <c r="J46" s="124">
        <f t="shared" si="21"/>
        <v>3287650</v>
      </c>
      <c r="K46" s="124">
        <f t="shared" si="21"/>
        <v>3654815</v>
      </c>
      <c r="L46" s="124">
        <f t="shared" si="21"/>
        <v>3172650</v>
      </c>
      <c r="M46" s="124">
        <f t="shared" si="21"/>
        <v>3402400</v>
      </c>
      <c r="N46" s="124">
        <f t="shared" si="21"/>
        <v>3603800</v>
      </c>
      <c r="O46" s="124">
        <f t="shared" si="21"/>
        <v>3556450</v>
      </c>
    </row>
    <row r="47" spans="1:15" x14ac:dyDescent="0.2">
      <c r="A47" s="106"/>
      <c r="B47" s="107" t="s">
        <v>221</v>
      </c>
      <c r="C47" s="108"/>
      <c r="D47" s="124">
        <f t="shared" si="21"/>
        <v>380250</v>
      </c>
      <c r="E47" s="124">
        <f t="shared" si="21"/>
        <v>997464</v>
      </c>
      <c r="F47" s="124">
        <f t="shared" si="21"/>
        <v>817083</v>
      </c>
      <c r="G47" s="124">
        <f t="shared" si="21"/>
        <v>654250</v>
      </c>
      <c r="H47" s="124">
        <f t="shared" si="21"/>
        <v>1354250</v>
      </c>
      <c r="I47" s="124">
        <f t="shared" si="21"/>
        <v>1150700</v>
      </c>
      <c r="J47" s="124">
        <f t="shared" si="21"/>
        <v>1149150</v>
      </c>
      <c r="K47" s="124">
        <f t="shared" si="21"/>
        <v>1676452</v>
      </c>
      <c r="L47" s="124">
        <f t="shared" si="21"/>
        <v>1463516</v>
      </c>
      <c r="M47" s="124">
        <f t="shared" si="21"/>
        <v>1536250</v>
      </c>
      <c r="N47" s="124">
        <f t="shared" si="21"/>
        <v>1872636</v>
      </c>
      <c r="O47" s="124">
        <f t="shared" si="21"/>
        <v>1940029</v>
      </c>
    </row>
    <row r="48" spans="1:15" x14ac:dyDescent="0.2">
      <c r="A48" s="101"/>
      <c r="B48" s="119" t="s">
        <v>222</v>
      </c>
      <c r="C48" s="103"/>
      <c r="D48" s="125">
        <f t="shared" ref="D48:O48" si="22">+D44/D43</f>
        <v>0.94317520379295061</v>
      </c>
      <c r="E48" s="125">
        <f t="shared" si="22"/>
        <v>0.93226134970438923</v>
      </c>
      <c r="F48" s="125">
        <f t="shared" si="22"/>
        <v>0.92963149633031028</v>
      </c>
      <c r="G48" s="125">
        <f t="shared" si="22"/>
        <v>0.9017271714848667</v>
      </c>
      <c r="H48" s="125">
        <f t="shared" si="22"/>
        <v>0.90750047540137457</v>
      </c>
      <c r="I48" s="125">
        <f t="shared" si="22"/>
        <v>0.75392580098877382</v>
      </c>
      <c r="J48" s="125">
        <f t="shared" si="22"/>
        <v>0.9031394256581845</v>
      </c>
      <c r="K48" s="125">
        <f t="shared" si="22"/>
        <v>0.87792860886754509</v>
      </c>
      <c r="L48" s="125">
        <f t="shared" si="22"/>
        <v>0.93377584397572244</v>
      </c>
      <c r="M48" s="125">
        <f t="shared" si="22"/>
        <v>0.87631988213145617</v>
      </c>
      <c r="N48" s="125">
        <f t="shared" si="22"/>
        <v>0.8748505469716864</v>
      </c>
      <c r="O48" s="125">
        <f t="shared" si="22"/>
        <v>0.87382890970314453</v>
      </c>
    </row>
    <row r="49" spans="1:16" x14ac:dyDescent="0.2">
      <c r="A49" s="106"/>
      <c r="B49" s="126" t="s">
        <v>223</v>
      </c>
      <c r="C49" s="127"/>
      <c r="D49" s="125">
        <f t="shared" ref="D49:O49" si="23">+D47/D46</f>
        <v>0.23138710560744821</v>
      </c>
      <c r="E49" s="125">
        <f t="shared" si="23"/>
        <v>0.42873758765259956</v>
      </c>
      <c r="F49" s="125">
        <f t="shared" si="23"/>
        <v>0.35673532578371198</v>
      </c>
      <c r="G49" s="125">
        <f t="shared" si="23"/>
        <v>0.26932180714212206</v>
      </c>
      <c r="H49" s="125">
        <f t="shared" si="23"/>
        <v>0.41303220690496523</v>
      </c>
      <c r="I49" s="125">
        <f t="shared" si="23"/>
        <v>0.35012399020249196</v>
      </c>
      <c r="J49" s="125">
        <f t="shared" si="23"/>
        <v>0.34953538241601145</v>
      </c>
      <c r="K49" s="125">
        <f t="shared" si="23"/>
        <v>0.45869681502346904</v>
      </c>
      <c r="L49" s="125">
        <f t="shared" si="23"/>
        <v>0.46129134950278161</v>
      </c>
      <c r="M49" s="125">
        <f t="shared" si="23"/>
        <v>0.45151951563602161</v>
      </c>
      <c r="N49" s="125">
        <f t="shared" si="23"/>
        <v>0.51962817026472052</v>
      </c>
      <c r="O49" s="125">
        <f t="shared" si="23"/>
        <v>0.54549592993012697</v>
      </c>
    </row>
    <row r="50" spans="1:16" x14ac:dyDescent="0.2">
      <c r="A50" s="83"/>
      <c r="B50" s="84"/>
      <c r="C50" s="86"/>
      <c r="D50" s="97"/>
      <c r="E50" s="97"/>
      <c r="F50" s="97"/>
      <c r="G50" s="97"/>
    </row>
    <row r="51" spans="1:16" x14ac:dyDescent="0.2">
      <c r="A51" s="83"/>
      <c r="B51" s="84"/>
      <c r="C51" s="86"/>
      <c r="D51" s="98"/>
      <c r="E51" s="98"/>
      <c r="F51" s="98"/>
      <c r="G51" s="98"/>
    </row>
    <row r="52" spans="1:16" x14ac:dyDescent="0.2">
      <c r="A52" s="87" t="s">
        <v>224</v>
      </c>
      <c r="B52" s="128"/>
      <c r="C52" s="99" t="s">
        <v>182</v>
      </c>
      <c r="D52" s="100">
        <f>+D4</f>
        <v>43101</v>
      </c>
      <c r="E52" s="100">
        <f t="shared" ref="E52:O52" si="24">+E4</f>
        <v>43132</v>
      </c>
      <c r="F52" s="100">
        <f t="shared" si="24"/>
        <v>43163</v>
      </c>
      <c r="G52" s="100">
        <f t="shared" si="24"/>
        <v>43194</v>
      </c>
      <c r="H52" s="100">
        <f t="shared" si="24"/>
        <v>43225</v>
      </c>
      <c r="I52" s="100">
        <f t="shared" si="24"/>
        <v>43256</v>
      </c>
      <c r="J52" s="100">
        <f t="shared" si="24"/>
        <v>43287</v>
      </c>
      <c r="K52" s="100">
        <f t="shared" si="24"/>
        <v>43318</v>
      </c>
      <c r="L52" s="100">
        <f t="shared" si="24"/>
        <v>43349</v>
      </c>
      <c r="M52" s="100">
        <f t="shared" si="24"/>
        <v>43380</v>
      </c>
      <c r="N52" s="100">
        <f t="shared" si="24"/>
        <v>43411</v>
      </c>
      <c r="O52" s="100">
        <f t="shared" si="24"/>
        <v>43442</v>
      </c>
    </row>
    <row r="53" spans="1:16" x14ac:dyDescent="0.2">
      <c r="A53" s="81">
        <v>1</v>
      </c>
      <c r="B53" s="102" t="s">
        <v>225</v>
      </c>
      <c r="C53" s="103" t="s">
        <v>226</v>
      </c>
      <c r="D53" s="129">
        <f>+D6/D5</f>
        <v>0.9842615012106537</v>
      </c>
      <c r="E53" s="129">
        <f t="shared" ref="E53:O53" si="25">+E6/E5</f>
        <v>0.9843184559710495</v>
      </c>
      <c r="F53" s="129">
        <f t="shared" si="25"/>
        <v>0.98439375750300118</v>
      </c>
      <c r="G53" s="129">
        <f t="shared" si="25"/>
        <v>0.98439375750300118</v>
      </c>
      <c r="H53" s="129">
        <f t="shared" si="25"/>
        <v>0.98444976076555024</v>
      </c>
      <c r="I53" s="129">
        <f t="shared" si="25"/>
        <v>0.98444976076555024</v>
      </c>
      <c r="J53" s="129">
        <f t="shared" si="25"/>
        <v>0.98448687350835318</v>
      </c>
      <c r="K53" s="129">
        <f t="shared" si="25"/>
        <v>0.98446833930704902</v>
      </c>
      <c r="L53" s="129">
        <f t="shared" si="25"/>
        <v>0.98450536352800955</v>
      </c>
      <c r="M53" s="129">
        <f t="shared" si="25"/>
        <v>0.98452380952380958</v>
      </c>
      <c r="N53" s="129">
        <f t="shared" si="25"/>
        <v>0.98454221165279432</v>
      </c>
      <c r="O53" s="130">
        <f t="shared" si="25"/>
        <v>0.98452380952380958</v>
      </c>
    </row>
    <row r="54" spans="1:16" x14ac:dyDescent="0.2">
      <c r="A54" s="82">
        <v>2</v>
      </c>
      <c r="B54" s="107" t="s">
        <v>227</v>
      </c>
      <c r="C54" s="108" t="s">
        <v>226</v>
      </c>
      <c r="D54" s="129">
        <f>+D7/D5</f>
        <v>0.95278450363196121</v>
      </c>
      <c r="E54" s="129">
        <f t="shared" ref="E54:O54" si="26">+E7/E5</f>
        <v>0.95295536791314839</v>
      </c>
      <c r="F54" s="129">
        <f t="shared" si="26"/>
        <v>0.95318127250900364</v>
      </c>
      <c r="G54" s="129">
        <f t="shared" si="26"/>
        <v>0.95318127250900364</v>
      </c>
      <c r="H54" s="129">
        <f t="shared" si="26"/>
        <v>0.95334928229665072</v>
      </c>
      <c r="I54" s="129">
        <f t="shared" si="26"/>
        <v>0.95334928229665072</v>
      </c>
      <c r="J54" s="129">
        <f t="shared" si="26"/>
        <v>0.95226730310262531</v>
      </c>
      <c r="K54" s="129">
        <f t="shared" si="26"/>
        <v>0.95459976105137401</v>
      </c>
      <c r="L54" s="129">
        <f t="shared" si="26"/>
        <v>0.95470798569725868</v>
      </c>
      <c r="M54" s="129">
        <f t="shared" si="26"/>
        <v>0.95476190476190481</v>
      </c>
      <c r="N54" s="129">
        <f t="shared" si="26"/>
        <v>0.95481569560047563</v>
      </c>
      <c r="O54" s="130">
        <f t="shared" si="26"/>
        <v>0.95476190476190481</v>
      </c>
    </row>
    <row r="55" spans="1:16" x14ac:dyDescent="0.2">
      <c r="A55" s="81">
        <v>3</v>
      </c>
      <c r="B55" s="102" t="s">
        <v>228</v>
      </c>
      <c r="C55" s="103" t="s">
        <v>226</v>
      </c>
      <c r="D55" s="129">
        <f t="shared" ref="D55:O55" si="27">IF((D5&gt;0),D8/D5,"0")</f>
        <v>0.9552058111380145</v>
      </c>
      <c r="E55" s="129">
        <f t="shared" si="27"/>
        <v>0.95536791314837155</v>
      </c>
      <c r="F55" s="129">
        <f t="shared" si="27"/>
        <v>0.95558223289315725</v>
      </c>
      <c r="G55" s="129">
        <f t="shared" si="27"/>
        <v>0.95558223289315725</v>
      </c>
      <c r="H55" s="129">
        <f t="shared" si="27"/>
        <v>0.95574162679425834</v>
      </c>
      <c r="I55" s="129">
        <f t="shared" si="27"/>
        <v>0.95574162679425834</v>
      </c>
      <c r="J55" s="129">
        <f t="shared" si="27"/>
        <v>0.95346062052505964</v>
      </c>
      <c r="K55" s="129">
        <f t="shared" si="27"/>
        <v>0.95579450418160095</v>
      </c>
      <c r="L55" s="129">
        <f t="shared" si="27"/>
        <v>0.95589988081048871</v>
      </c>
      <c r="M55" s="129">
        <f t="shared" si="27"/>
        <v>0.955952380952381</v>
      </c>
      <c r="N55" s="129">
        <f t="shared" si="27"/>
        <v>0.95600475624256842</v>
      </c>
      <c r="O55" s="130">
        <f t="shared" si="27"/>
        <v>0.955952380952381</v>
      </c>
    </row>
    <row r="56" spans="1:16" x14ac:dyDescent="0.2">
      <c r="A56" s="82">
        <v>4</v>
      </c>
      <c r="B56" s="107" t="s">
        <v>229</v>
      </c>
      <c r="C56" s="108" t="s">
        <v>230</v>
      </c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</row>
    <row r="57" spans="1:16" x14ac:dyDescent="0.2">
      <c r="A57" s="81">
        <v>5</v>
      </c>
      <c r="B57" s="102" t="s">
        <v>231</v>
      </c>
      <c r="C57" s="103" t="s">
        <v>226</v>
      </c>
      <c r="D57" s="130">
        <f>+ROUND((D9-D10)/D9,4)</f>
        <v>0.48459999999999998</v>
      </c>
      <c r="E57" s="130">
        <f t="shared" ref="E57:O57" si="28">+ROUND((E9-E10)/E9,4)</f>
        <v>0.5706</v>
      </c>
      <c r="F57" s="130">
        <f t="shared" si="28"/>
        <v>0.63859999999999995</v>
      </c>
      <c r="G57" s="130">
        <f t="shared" si="28"/>
        <v>0.43630000000000002</v>
      </c>
      <c r="H57" s="130">
        <f t="shared" si="28"/>
        <v>0.52800000000000002</v>
      </c>
      <c r="I57" s="130">
        <f t="shared" si="28"/>
        <v>0.54479999999999995</v>
      </c>
      <c r="J57" s="130">
        <f t="shared" si="28"/>
        <v>0.496</v>
      </c>
      <c r="K57" s="130">
        <f t="shared" si="28"/>
        <v>0.54710000000000003</v>
      </c>
      <c r="L57" s="130">
        <f t="shared" si="28"/>
        <v>0.46920000000000001</v>
      </c>
      <c r="M57" s="130">
        <f t="shared" si="28"/>
        <v>0.63429999999999997</v>
      </c>
      <c r="N57" s="130">
        <f t="shared" si="28"/>
        <v>0.55889999999999995</v>
      </c>
      <c r="O57" s="130">
        <f t="shared" si="28"/>
        <v>0.62480000000000002</v>
      </c>
      <c r="P57" s="130">
        <f>+ROUND((P9-P11)/P9,4)</f>
        <v>0.56200000000000006</v>
      </c>
    </row>
    <row r="58" spans="1:16" x14ac:dyDescent="0.2">
      <c r="A58" s="82">
        <v>6</v>
      </c>
      <c r="B58" s="107" t="s">
        <v>232</v>
      </c>
      <c r="C58" s="108" t="s">
        <v>226</v>
      </c>
      <c r="D58" s="131">
        <f>+D15/D14</f>
        <v>0.9440679609960384</v>
      </c>
      <c r="E58" s="131">
        <f t="shared" ref="E58:O58" si="29">+E15/E14</f>
        <v>0.93138650227468489</v>
      </c>
      <c r="F58" s="131">
        <f t="shared" si="29"/>
        <v>0.92647614294577407</v>
      </c>
      <c r="G58" s="131">
        <f t="shared" si="29"/>
        <v>0.90066628954666439</v>
      </c>
      <c r="H58" s="131">
        <f t="shared" si="29"/>
        <v>0.90163835102989687</v>
      </c>
      <c r="I58" s="131">
        <f t="shared" ref="I58" si="30">+I15/I14</f>
        <v>0.92040518635112312</v>
      </c>
      <c r="J58" s="131">
        <f t="shared" si="29"/>
        <v>0.90198438757757182</v>
      </c>
      <c r="K58" s="131">
        <f t="shared" si="29"/>
        <v>0.87660889870543302</v>
      </c>
      <c r="L58" s="131">
        <f t="shared" si="29"/>
        <v>0.93438144675083756</v>
      </c>
      <c r="M58" s="131">
        <f t="shared" si="29"/>
        <v>0.87419229554964606</v>
      </c>
      <c r="N58" s="131">
        <f t="shared" si="29"/>
        <v>0.8716276917821596</v>
      </c>
      <c r="O58" s="130">
        <f t="shared" si="29"/>
        <v>0.87154677231836442</v>
      </c>
    </row>
    <row r="59" spans="1:16" x14ac:dyDescent="0.2">
      <c r="A59" s="81">
        <v>7</v>
      </c>
      <c r="B59" s="102" t="s">
        <v>233</v>
      </c>
      <c r="C59" s="103" t="s">
        <v>226</v>
      </c>
      <c r="D59" s="131">
        <f>+D17/D16</f>
        <v>0.94721866797237231</v>
      </c>
      <c r="E59" s="131">
        <f t="shared" ref="E59:O59" si="31">+E17/E16</f>
        <v>0.93759638005873147</v>
      </c>
      <c r="F59" s="131">
        <f t="shared" si="31"/>
        <v>0.93635341593908139</v>
      </c>
      <c r="G59" s="131">
        <f t="shared" si="31"/>
        <v>0.90647400806755551</v>
      </c>
      <c r="H59" s="131">
        <f t="shared" si="31"/>
        <v>0.91123524236084896</v>
      </c>
      <c r="I59" s="131">
        <f t="shared" ref="I59" si="32">+I17/I16</f>
        <v>0.92133947166884689</v>
      </c>
      <c r="J59" s="131">
        <f t="shared" si="31"/>
        <v>0.90466303851838903</v>
      </c>
      <c r="K59" s="131">
        <f t="shared" si="31"/>
        <v>0.8764951742063859</v>
      </c>
      <c r="L59" s="131">
        <f t="shared" si="31"/>
        <v>0.93134735179190131</v>
      </c>
      <c r="M59" s="131">
        <f t="shared" si="31"/>
        <v>0.87476247483983005</v>
      </c>
      <c r="N59" s="131">
        <f t="shared" si="31"/>
        <v>0.87520963660007822</v>
      </c>
      <c r="O59" s="130">
        <f t="shared" si="31"/>
        <v>0.87710879633945293</v>
      </c>
    </row>
    <row r="60" spans="1:16" x14ac:dyDescent="0.2">
      <c r="A60" s="82">
        <v>8</v>
      </c>
      <c r="B60" s="107" t="s">
        <v>234</v>
      </c>
      <c r="C60" s="108" t="s">
        <v>226</v>
      </c>
      <c r="D60" s="131">
        <f>+D19/D18</f>
        <v>0.93312870493782807</v>
      </c>
      <c r="E60" s="131">
        <f t="shared" ref="E60:O60" si="33">+E19/E18</f>
        <v>0.9282066685854915</v>
      </c>
      <c r="F60" s="131">
        <f t="shared" si="33"/>
        <v>0.92831314336843362</v>
      </c>
      <c r="G60" s="131">
        <f t="shared" si="33"/>
        <v>0.89822006899646678</v>
      </c>
      <c r="H60" s="131">
        <f>+H19/H18</f>
        <v>0.91474302474329938</v>
      </c>
      <c r="I60" s="131">
        <f t="shared" ref="I60" si="34">+I19/I18</f>
        <v>0.923195749435756</v>
      </c>
      <c r="J60" s="131">
        <f t="shared" si="33"/>
        <v>0.90369722305032862</v>
      </c>
      <c r="K60" s="131">
        <f t="shared" si="33"/>
        <v>0.88216941571459595</v>
      </c>
      <c r="L60" s="131">
        <f t="shared" si="33"/>
        <v>0.93557999215882581</v>
      </c>
      <c r="M60" s="131">
        <f t="shared" si="33"/>
        <v>0.88185903820957501</v>
      </c>
      <c r="N60" s="131">
        <f t="shared" si="33"/>
        <v>0.88062494529975455</v>
      </c>
      <c r="O60" s="130">
        <f t="shared" si="33"/>
        <v>0.87452311718884546</v>
      </c>
    </row>
    <row r="61" spans="1:16" s="67" customFormat="1" x14ac:dyDescent="0.2">
      <c r="A61" s="81">
        <v>9</v>
      </c>
      <c r="B61" s="119" t="s">
        <v>235</v>
      </c>
      <c r="C61" s="120"/>
      <c r="D61" s="131">
        <f>+D21/D20</f>
        <v>0.13795960371171423</v>
      </c>
      <c r="E61" s="131">
        <f t="shared" ref="E61:O61" si="35">+E21/E20</f>
        <v>0.31377083101166509</v>
      </c>
      <c r="F61" s="131">
        <f t="shared" si="35"/>
        <v>0.27121112633912242</v>
      </c>
      <c r="G61" s="131">
        <f t="shared" si="35"/>
        <v>0.20592399251130819</v>
      </c>
      <c r="H61" s="131">
        <f t="shared" si="35"/>
        <v>0.33207648929673311</v>
      </c>
      <c r="I61" s="131">
        <f t="shared" ref="I61" si="36">+I21/I20</f>
        <v>0.28634690819676473</v>
      </c>
      <c r="J61" s="131">
        <f t="shared" si="35"/>
        <v>0.27361511832877977</v>
      </c>
      <c r="K61" s="131">
        <f t="shared" si="35"/>
        <v>0.38672385904287454</v>
      </c>
      <c r="L61" s="131">
        <f t="shared" si="35"/>
        <v>0.37251343587574764</v>
      </c>
      <c r="M61" s="131">
        <f t="shared" si="35"/>
        <v>0.37172254024183893</v>
      </c>
      <c r="N61" s="131">
        <f t="shared" si="35"/>
        <v>0.44784405432356039</v>
      </c>
      <c r="O61" s="131">
        <f t="shared" si="35"/>
        <v>0.48559534348157191</v>
      </c>
    </row>
    <row r="62" spans="1:16" s="67" customFormat="1" x14ac:dyDescent="0.2">
      <c r="A62" s="82">
        <v>10</v>
      </c>
      <c r="B62" s="107" t="s">
        <v>236</v>
      </c>
      <c r="C62" s="108"/>
      <c r="D62" s="131">
        <f>+D23/D22</f>
        <v>0.34328634157614973</v>
      </c>
      <c r="E62" s="131">
        <f t="shared" ref="E62:O62" si="37">+E23/E22</f>
        <v>0.70040473885585208</v>
      </c>
      <c r="F62" s="131">
        <f t="shared" si="37"/>
        <v>0.56187455835108024</v>
      </c>
      <c r="G62" s="131">
        <f t="shared" si="37"/>
        <v>0.43527417869204788</v>
      </c>
      <c r="H62" s="131">
        <f t="shared" si="37"/>
        <v>0.60060253316298362</v>
      </c>
      <c r="I62" s="131">
        <f t="shared" ref="I62" si="38">+I23/I22</f>
        <v>0.53440527380229497</v>
      </c>
      <c r="J62" s="131">
        <f t="shared" si="37"/>
        <v>0.52481194405514398</v>
      </c>
      <c r="K62" s="131">
        <f t="shared" si="37"/>
        <v>0.61724810468583313</v>
      </c>
      <c r="L62" s="131">
        <f t="shared" si="37"/>
        <v>0.63730270936164235</v>
      </c>
      <c r="M62" s="131">
        <f t="shared" si="37"/>
        <v>0.64287872936988966</v>
      </c>
      <c r="N62" s="131">
        <f t="shared" si="37"/>
        <v>0.7094527981442359</v>
      </c>
      <c r="O62" s="131">
        <f t="shared" si="37"/>
        <v>0.69036478721851402</v>
      </c>
    </row>
    <row r="63" spans="1:16" s="67" customFormat="1" x14ac:dyDescent="0.2">
      <c r="A63" s="88">
        <v>11</v>
      </c>
      <c r="B63" s="119" t="s">
        <v>237</v>
      </c>
      <c r="C63" s="120"/>
      <c r="D63" s="131">
        <f>+D25/D24</f>
        <v>0.41828227398236156</v>
      </c>
      <c r="E63" s="131">
        <f t="shared" ref="E63:O63" si="39">+E25/E24</f>
        <v>0.44047083997448044</v>
      </c>
      <c r="F63" s="131">
        <f t="shared" si="39"/>
        <v>0.41855036926307893</v>
      </c>
      <c r="G63" s="131">
        <f t="shared" si="39"/>
        <v>0.31447496799949876</v>
      </c>
      <c r="H63" s="131">
        <f t="shared" si="39"/>
        <v>0.45840239395407162</v>
      </c>
      <c r="I63" s="131">
        <f t="shared" ref="I63" si="40">+I25/I24</f>
        <v>0.36863227492888445</v>
      </c>
      <c r="J63" s="131">
        <f t="shared" si="39"/>
        <v>0.41039229537662592</v>
      </c>
      <c r="K63" s="131">
        <f t="shared" si="39"/>
        <v>0.51689521311983666</v>
      </c>
      <c r="L63" s="131">
        <f t="shared" si="39"/>
        <v>0.55476224753609626</v>
      </c>
      <c r="M63" s="131">
        <f t="shared" si="39"/>
        <v>0.491053684039158</v>
      </c>
      <c r="N63" s="131">
        <f t="shared" si="39"/>
        <v>0.53910819628909468</v>
      </c>
      <c r="O63" s="131">
        <f t="shared" si="39"/>
        <v>0.56069114305116308</v>
      </c>
    </row>
    <row r="64" spans="1:16" s="67" customFormat="1" x14ac:dyDescent="0.2">
      <c r="A64" s="82">
        <v>12</v>
      </c>
      <c r="B64" s="107" t="s">
        <v>238</v>
      </c>
      <c r="C64" s="108"/>
      <c r="D64" s="131">
        <f t="shared" ref="D64:O64" si="41">+D27/D26</f>
        <v>0.85985601807244894</v>
      </c>
      <c r="E64" s="131">
        <f t="shared" si="41"/>
        <v>0.82406190902561693</v>
      </c>
      <c r="F64" s="131">
        <f t="shared" si="41"/>
        <v>0.81206001150367968</v>
      </c>
      <c r="G64" s="131">
        <f t="shared" si="41"/>
        <v>0.78449055673755586</v>
      </c>
      <c r="H64" s="131">
        <f t="shared" si="41"/>
        <v>0.7811340291875738</v>
      </c>
      <c r="I64" s="131">
        <f t="shared" ref="I64" si="42">+I27/I26</f>
        <v>0.78187469629462469</v>
      </c>
      <c r="J64" s="131">
        <f t="shared" si="41"/>
        <v>0.77326014473766314</v>
      </c>
      <c r="K64" s="131">
        <f t="shared" si="41"/>
        <v>0.76152517296460698</v>
      </c>
      <c r="L64" s="131">
        <f t="shared" si="41"/>
        <v>0.82654317740791894</v>
      </c>
      <c r="M64" s="131">
        <f t="shared" si="41"/>
        <v>0.7561531288526987</v>
      </c>
      <c r="N64" s="131">
        <f t="shared" si="41"/>
        <v>0.7724068082494665</v>
      </c>
      <c r="O64" s="131">
        <f t="shared" si="41"/>
        <v>0.7799735508500405</v>
      </c>
    </row>
    <row r="65" spans="1:15" s="67" customFormat="1" x14ac:dyDescent="0.2">
      <c r="A65" s="88">
        <v>13</v>
      </c>
      <c r="B65" s="119" t="s">
        <v>239</v>
      </c>
      <c r="C65" s="120"/>
      <c r="D65" s="131">
        <f t="shared" ref="D65:O65" si="43">+D29/D28</f>
        <v>0.9271605766999198</v>
      </c>
      <c r="E65" s="131">
        <f t="shared" si="43"/>
        <v>0.90770093529185925</v>
      </c>
      <c r="F65" s="131">
        <f t="shared" si="43"/>
        <v>0.89909245523224535</v>
      </c>
      <c r="G65" s="131">
        <f t="shared" si="43"/>
        <v>0.86561338571054613</v>
      </c>
      <c r="H65" s="131">
        <f t="shared" si="43"/>
        <v>0.86938876202322768</v>
      </c>
      <c r="I65" s="131">
        <f t="shared" ref="I65" si="44">+I29/I28</f>
        <v>0.87044789493277464</v>
      </c>
      <c r="J65" s="131">
        <f t="shared" si="43"/>
        <v>0.85991405879916194</v>
      </c>
      <c r="K65" s="131">
        <f t="shared" si="43"/>
        <v>0.83870201536800415</v>
      </c>
      <c r="L65" s="131">
        <f t="shared" si="43"/>
        <v>0.89769335979601506</v>
      </c>
      <c r="M65" s="131">
        <f t="shared" si="43"/>
        <v>0.83805799819372984</v>
      </c>
      <c r="N65" s="131">
        <f t="shared" si="43"/>
        <v>0.84993173374391351</v>
      </c>
      <c r="O65" s="131">
        <f t="shared" si="43"/>
        <v>0.84589283575335716</v>
      </c>
    </row>
    <row r="66" spans="1:15" s="67" customFormat="1" x14ac:dyDescent="0.2">
      <c r="A66" s="82">
        <v>14</v>
      </c>
      <c r="B66" s="107" t="s">
        <v>240</v>
      </c>
      <c r="C66" s="108"/>
      <c r="D66" s="131">
        <f t="shared" ref="D66:O66" si="45">+D31/D30</f>
        <v>0.88443217054705392</v>
      </c>
      <c r="E66" s="131">
        <f t="shared" si="45"/>
        <v>0.8731631569193663</v>
      </c>
      <c r="F66" s="131">
        <f t="shared" si="45"/>
        <v>0.86426703039909658</v>
      </c>
      <c r="G66" s="131">
        <f t="shared" si="45"/>
        <v>0.81978702625730038</v>
      </c>
      <c r="H66" s="131">
        <f t="shared" si="45"/>
        <v>0.8358357487834025</v>
      </c>
      <c r="I66" s="131">
        <f t="shared" ref="I66" si="46">+I31/I30</f>
        <v>0.83144064889923175</v>
      </c>
      <c r="J66" s="131">
        <f t="shared" si="45"/>
        <v>0.82014117281820365</v>
      </c>
      <c r="K66" s="131">
        <f t="shared" si="45"/>
        <v>0.81753176882441003</v>
      </c>
      <c r="L66" s="131">
        <f t="shared" si="45"/>
        <v>0.87622787442047878</v>
      </c>
      <c r="M66" s="131">
        <f t="shared" si="45"/>
        <v>0.82223011163915527</v>
      </c>
      <c r="N66" s="131">
        <f t="shared" si="45"/>
        <v>0.82148538050143038</v>
      </c>
      <c r="O66" s="131">
        <f t="shared" si="45"/>
        <v>0.81874318949578739</v>
      </c>
    </row>
    <row r="67" spans="1:15" s="67" customFormat="1" x14ac:dyDescent="0.2">
      <c r="A67" s="88">
        <v>15</v>
      </c>
      <c r="B67" s="119" t="s">
        <v>241</v>
      </c>
      <c r="C67" s="120"/>
      <c r="D67" s="131">
        <f t="shared" ref="D67:O67" si="47">+D33/D32</f>
        <v>0.88745227629405654</v>
      </c>
      <c r="E67" s="131">
        <f t="shared" si="47"/>
        <v>0.85898608160632051</v>
      </c>
      <c r="F67" s="131">
        <f t="shared" si="47"/>
        <v>0.84788594638707704</v>
      </c>
      <c r="G67" s="131">
        <f t="shared" si="47"/>
        <v>0.81446063046917383</v>
      </c>
      <c r="H67" s="131">
        <f t="shared" si="47"/>
        <v>0.81744634287237827</v>
      </c>
      <c r="I67" s="131">
        <f t="shared" ref="I67" si="48">+I33/I32</f>
        <v>0.81664942459825052</v>
      </c>
      <c r="J67" s="131">
        <f t="shared" si="47"/>
        <v>0.80705501691587567</v>
      </c>
      <c r="K67" s="131">
        <f t="shared" si="47"/>
        <v>0.79496897571117631</v>
      </c>
      <c r="L67" s="131">
        <f t="shared" si="47"/>
        <v>0.8567744785553395</v>
      </c>
      <c r="M67" s="131">
        <f t="shared" si="47"/>
        <v>0.7935015857826776</v>
      </c>
      <c r="N67" s="131">
        <f t="shared" si="47"/>
        <v>0.80446872087813004</v>
      </c>
      <c r="O67" s="131">
        <f t="shared" si="47"/>
        <v>0.80681658407531642</v>
      </c>
    </row>
    <row r="68" spans="1:15" s="67" customFormat="1" hidden="1" x14ac:dyDescent="0.2">
      <c r="A68" s="88">
        <v>16</v>
      </c>
      <c r="B68" s="119" t="s">
        <v>242</v>
      </c>
      <c r="C68" s="120" t="s">
        <v>243</v>
      </c>
      <c r="D68" s="132">
        <f t="shared" ref="D68:G68" si="49">+D13/D10</f>
        <v>0</v>
      </c>
      <c r="E68" s="132">
        <f t="shared" si="49"/>
        <v>0</v>
      </c>
      <c r="F68" s="132">
        <f t="shared" si="49"/>
        <v>0</v>
      </c>
      <c r="G68" s="132">
        <f t="shared" si="49"/>
        <v>0</v>
      </c>
      <c r="H68" s="132">
        <f t="shared" ref="H68:O68" si="50">+H13/H10</f>
        <v>0</v>
      </c>
      <c r="I68" s="132">
        <f t="shared" si="50"/>
        <v>0</v>
      </c>
      <c r="J68" s="132">
        <f t="shared" si="50"/>
        <v>0</v>
      </c>
      <c r="K68" s="132">
        <f t="shared" si="50"/>
        <v>0</v>
      </c>
      <c r="L68" s="132">
        <f t="shared" si="50"/>
        <v>0</v>
      </c>
      <c r="M68" s="132">
        <f t="shared" si="50"/>
        <v>0</v>
      </c>
      <c r="N68" s="132">
        <f t="shared" si="50"/>
        <v>0</v>
      </c>
      <c r="O68" s="132">
        <f t="shared" si="50"/>
        <v>0</v>
      </c>
    </row>
    <row r="69" spans="1:15" hidden="1" x14ac:dyDescent="0.2">
      <c r="A69" s="82">
        <v>17</v>
      </c>
      <c r="B69" s="107" t="s">
        <v>244</v>
      </c>
      <c r="C69" s="108" t="s">
        <v>191</v>
      </c>
      <c r="D69" s="133">
        <f>+D11-D12-D13</f>
        <v>8618</v>
      </c>
      <c r="E69" s="133">
        <f>+E11-E12-E13</f>
        <v>7112</v>
      </c>
      <c r="F69" s="133">
        <f t="shared" ref="F69:G69" si="51">+F11-F12-F13</f>
        <v>6870</v>
      </c>
      <c r="G69" s="133">
        <f t="shared" si="51"/>
        <v>8696</v>
      </c>
      <c r="H69" s="133">
        <f t="shared" ref="H69:O69" si="52">+H11-H12-H13</f>
        <v>7883</v>
      </c>
      <c r="I69" s="133">
        <f t="shared" si="52"/>
        <v>7823</v>
      </c>
      <c r="J69" s="133">
        <f t="shared" si="52"/>
        <v>9293</v>
      </c>
      <c r="K69" s="133">
        <f t="shared" si="52"/>
        <v>8260</v>
      </c>
      <c r="L69" s="133">
        <f t="shared" si="52"/>
        <v>10026</v>
      </c>
      <c r="M69" s="133">
        <f t="shared" si="52"/>
        <v>7087</v>
      </c>
      <c r="N69" s="133">
        <f t="shared" si="52"/>
        <v>7927</v>
      </c>
      <c r="O69" s="133">
        <f t="shared" si="52"/>
        <v>7053</v>
      </c>
    </row>
    <row r="71" spans="1:15" x14ac:dyDescent="0.2">
      <c r="B71" s="292" t="s">
        <v>245</v>
      </c>
      <c r="C71" s="292"/>
      <c r="D71" s="298"/>
      <c r="E71" s="298"/>
      <c r="F71" s="298"/>
      <c r="G71" s="298"/>
    </row>
    <row r="87" spans="2:4" x14ac:dyDescent="0.2">
      <c r="B87" s="292" t="s">
        <v>246</v>
      </c>
      <c r="C87" s="292"/>
    </row>
    <row r="94" spans="2:4" ht="14.25" customHeight="1" x14ac:dyDescent="0.2"/>
    <row r="96" spans="2:4" x14ac:dyDescent="0.2">
      <c r="C96" s="90"/>
      <c r="D96" s="93"/>
    </row>
    <row r="97" spans="2:4" x14ac:dyDescent="0.2">
      <c r="C97" s="90"/>
      <c r="D97" s="93"/>
    </row>
    <row r="98" spans="2:4" x14ac:dyDescent="0.2">
      <c r="B98" s="292"/>
      <c r="C98" s="292"/>
    </row>
  </sheetData>
  <sheetProtection password="9F06" sheet="1" objects="1" scenarios="1"/>
  <mergeCells count="9">
    <mergeCell ref="B87:C87"/>
    <mergeCell ref="B98:C98"/>
    <mergeCell ref="A1:G1"/>
    <mergeCell ref="A2:B2"/>
    <mergeCell ref="A4:B4"/>
    <mergeCell ref="B71:C71"/>
    <mergeCell ref="D71:G71"/>
    <mergeCell ref="E2:F2"/>
    <mergeCell ref="G2:K2"/>
  </mergeCells>
  <printOptions horizontalCentered="1"/>
  <pageMargins left="0.15748031496062992" right="0.15748031496062992" top="1.0629921259842521" bottom="0.39370078740157483" header="0.55118110236220474" footer="0.19685039370078741"/>
  <pageSetup scale="8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59"/>
  <sheetViews>
    <sheetView windowProtection="1" zoomScaleSheetLayoutView="72" workbookViewId="0">
      <selection activeCell="N27" sqref="N27:O38"/>
    </sheetView>
  </sheetViews>
  <sheetFormatPr baseColWidth="10" defaultRowHeight="12.75" x14ac:dyDescent="0.25"/>
  <cols>
    <col min="1" max="1" width="3.85546875" style="3" customWidth="1"/>
    <col min="2" max="2" width="26.85546875" style="3" customWidth="1"/>
    <col min="3" max="3" width="11" style="3" customWidth="1"/>
    <col min="4" max="4" width="10.140625" style="3" bestFit="1" customWidth="1"/>
    <col min="5" max="5" width="10.5703125" style="3" customWidth="1"/>
    <col min="6" max="6" width="9.140625" style="3" bestFit="1" customWidth="1"/>
    <col min="7" max="7" width="10.140625" style="3" bestFit="1" customWidth="1"/>
    <col min="8" max="8" width="9.140625" style="3" bestFit="1" customWidth="1"/>
    <col min="9" max="9" width="10.28515625" style="3" customWidth="1"/>
    <col min="10" max="10" width="10.42578125" style="3" customWidth="1"/>
    <col min="11" max="11" width="7.7109375" style="3" customWidth="1"/>
    <col min="12" max="12" width="8.28515625" style="3" customWidth="1"/>
    <col min="13" max="14" width="7.7109375" style="3" customWidth="1"/>
    <col min="15" max="15" width="9.140625" style="3" customWidth="1"/>
    <col min="16" max="16" width="7.28515625" style="3" customWidth="1"/>
    <col min="17" max="18" width="7.28515625" style="3" hidden="1" customWidth="1"/>
    <col min="19" max="19" width="7.28515625" style="3" customWidth="1"/>
    <col min="20" max="20" width="11.42578125" style="3" customWidth="1"/>
    <col min="21" max="21" width="9" style="3" customWidth="1"/>
    <col min="22" max="22" width="5.7109375" style="3" customWidth="1"/>
    <col min="23" max="23" width="10.42578125" style="3" customWidth="1"/>
    <col min="24" max="24" width="10" style="3" customWidth="1"/>
    <col min="25" max="257" width="11.42578125" style="3"/>
    <col min="258" max="258" width="26.85546875" style="3" customWidth="1"/>
    <col min="259" max="267" width="7.7109375" style="3" customWidth="1"/>
    <col min="268" max="268" width="8.28515625" style="3" customWidth="1"/>
    <col min="269" max="271" width="7.7109375" style="3" customWidth="1"/>
    <col min="272" max="513" width="11.42578125" style="3"/>
    <col min="514" max="514" width="26.85546875" style="3" customWidth="1"/>
    <col min="515" max="523" width="7.7109375" style="3" customWidth="1"/>
    <col min="524" max="524" width="8.28515625" style="3" customWidth="1"/>
    <col min="525" max="527" width="7.7109375" style="3" customWidth="1"/>
    <col min="528" max="769" width="11.42578125" style="3"/>
    <col min="770" max="770" width="26.85546875" style="3" customWidth="1"/>
    <col min="771" max="779" width="7.7109375" style="3" customWidth="1"/>
    <col min="780" max="780" width="8.28515625" style="3" customWidth="1"/>
    <col min="781" max="783" width="7.7109375" style="3" customWidth="1"/>
    <col min="784" max="1025" width="11.42578125" style="3"/>
    <col min="1026" max="1026" width="26.85546875" style="3" customWidth="1"/>
    <col min="1027" max="1035" width="7.7109375" style="3" customWidth="1"/>
    <col min="1036" max="1036" width="8.28515625" style="3" customWidth="1"/>
    <col min="1037" max="1039" width="7.7109375" style="3" customWidth="1"/>
    <col min="1040" max="1281" width="11.42578125" style="3"/>
    <col min="1282" max="1282" width="26.85546875" style="3" customWidth="1"/>
    <col min="1283" max="1291" width="7.7109375" style="3" customWidth="1"/>
    <col min="1292" max="1292" width="8.28515625" style="3" customWidth="1"/>
    <col min="1293" max="1295" width="7.7109375" style="3" customWidth="1"/>
    <col min="1296" max="1537" width="11.42578125" style="3"/>
    <col min="1538" max="1538" width="26.85546875" style="3" customWidth="1"/>
    <col min="1539" max="1547" width="7.7109375" style="3" customWidth="1"/>
    <col min="1548" max="1548" width="8.28515625" style="3" customWidth="1"/>
    <col min="1549" max="1551" width="7.7109375" style="3" customWidth="1"/>
    <col min="1552" max="1793" width="11.42578125" style="3"/>
    <col min="1794" max="1794" width="26.85546875" style="3" customWidth="1"/>
    <col min="1795" max="1803" width="7.7109375" style="3" customWidth="1"/>
    <col min="1804" max="1804" width="8.28515625" style="3" customWidth="1"/>
    <col min="1805" max="1807" width="7.7109375" style="3" customWidth="1"/>
    <col min="1808" max="2049" width="11.42578125" style="3"/>
    <col min="2050" max="2050" width="26.85546875" style="3" customWidth="1"/>
    <col min="2051" max="2059" width="7.7109375" style="3" customWidth="1"/>
    <col min="2060" max="2060" width="8.28515625" style="3" customWidth="1"/>
    <col min="2061" max="2063" width="7.7109375" style="3" customWidth="1"/>
    <col min="2064" max="2305" width="11.42578125" style="3"/>
    <col min="2306" max="2306" width="26.85546875" style="3" customWidth="1"/>
    <col min="2307" max="2315" width="7.7109375" style="3" customWidth="1"/>
    <col min="2316" max="2316" width="8.28515625" style="3" customWidth="1"/>
    <col min="2317" max="2319" width="7.7109375" style="3" customWidth="1"/>
    <col min="2320" max="2561" width="11.42578125" style="3"/>
    <col min="2562" max="2562" width="26.85546875" style="3" customWidth="1"/>
    <col min="2563" max="2571" width="7.7109375" style="3" customWidth="1"/>
    <col min="2572" max="2572" width="8.28515625" style="3" customWidth="1"/>
    <col min="2573" max="2575" width="7.7109375" style="3" customWidth="1"/>
    <col min="2576" max="2817" width="11.42578125" style="3"/>
    <col min="2818" max="2818" width="26.85546875" style="3" customWidth="1"/>
    <col min="2819" max="2827" width="7.7109375" style="3" customWidth="1"/>
    <col min="2828" max="2828" width="8.28515625" style="3" customWidth="1"/>
    <col min="2829" max="2831" width="7.7109375" style="3" customWidth="1"/>
    <col min="2832" max="3073" width="11.42578125" style="3"/>
    <col min="3074" max="3074" width="26.85546875" style="3" customWidth="1"/>
    <col min="3075" max="3083" width="7.7109375" style="3" customWidth="1"/>
    <col min="3084" max="3084" width="8.28515625" style="3" customWidth="1"/>
    <col min="3085" max="3087" width="7.7109375" style="3" customWidth="1"/>
    <col min="3088" max="3329" width="11.42578125" style="3"/>
    <col min="3330" max="3330" width="26.85546875" style="3" customWidth="1"/>
    <col min="3331" max="3339" width="7.7109375" style="3" customWidth="1"/>
    <col min="3340" max="3340" width="8.28515625" style="3" customWidth="1"/>
    <col min="3341" max="3343" width="7.7109375" style="3" customWidth="1"/>
    <col min="3344" max="3585" width="11.42578125" style="3"/>
    <col min="3586" max="3586" width="26.85546875" style="3" customWidth="1"/>
    <col min="3587" max="3595" width="7.7109375" style="3" customWidth="1"/>
    <col min="3596" max="3596" width="8.28515625" style="3" customWidth="1"/>
    <col min="3597" max="3599" width="7.7109375" style="3" customWidth="1"/>
    <col min="3600" max="3841" width="11.42578125" style="3"/>
    <col min="3842" max="3842" width="26.85546875" style="3" customWidth="1"/>
    <col min="3843" max="3851" width="7.7109375" style="3" customWidth="1"/>
    <col min="3852" max="3852" width="8.28515625" style="3" customWidth="1"/>
    <col min="3853" max="3855" width="7.7109375" style="3" customWidth="1"/>
    <col min="3856" max="4097" width="11.42578125" style="3"/>
    <col min="4098" max="4098" width="26.85546875" style="3" customWidth="1"/>
    <col min="4099" max="4107" width="7.7109375" style="3" customWidth="1"/>
    <col min="4108" max="4108" width="8.28515625" style="3" customWidth="1"/>
    <col min="4109" max="4111" width="7.7109375" style="3" customWidth="1"/>
    <col min="4112" max="4353" width="11.42578125" style="3"/>
    <col min="4354" max="4354" width="26.85546875" style="3" customWidth="1"/>
    <col min="4355" max="4363" width="7.7109375" style="3" customWidth="1"/>
    <col min="4364" max="4364" width="8.28515625" style="3" customWidth="1"/>
    <col min="4365" max="4367" width="7.7109375" style="3" customWidth="1"/>
    <col min="4368" max="4609" width="11.42578125" style="3"/>
    <col min="4610" max="4610" width="26.85546875" style="3" customWidth="1"/>
    <col min="4611" max="4619" width="7.7109375" style="3" customWidth="1"/>
    <col min="4620" max="4620" width="8.28515625" style="3" customWidth="1"/>
    <col min="4621" max="4623" width="7.7109375" style="3" customWidth="1"/>
    <col min="4624" max="4865" width="11.42578125" style="3"/>
    <col min="4866" max="4866" width="26.85546875" style="3" customWidth="1"/>
    <col min="4867" max="4875" width="7.7109375" style="3" customWidth="1"/>
    <col min="4876" max="4876" width="8.28515625" style="3" customWidth="1"/>
    <col min="4877" max="4879" width="7.7109375" style="3" customWidth="1"/>
    <col min="4880" max="5121" width="11.42578125" style="3"/>
    <col min="5122" max="5122" width="26.85546875" style="3" customWidth="1"/>
    <col min="5123" max="5131" width="7.7109375" style="3" customWidth="1"/>
    <col min="5132" max="5132" width="8.28515625" style="3" customWidth="1"/>
    <col min="5133" max="5135" width="7.7109375" style="3" customWidth="1"/>
    <col min="5136" max="5377" width="11.42578125" style="3"/>
    <col min="5378" max="5378" width="26.85546875" style="3" customWidth="1"/>
    <col min="5379" max="5387" width="7.7109375" style="3" customWidth="1"/>
    <col min="5388" max="5388" width="8.28515625" style="3" customWidth="1"/>
    <col min="5389" max="5391" width="7.7109375" style="3" customWidth="1"/>
    <col min="5392" max="5633" width="11.42578125" style="3"/>
    <col min="5634" max="5634" width="26.85546875" style="3" customWidth="1"/>
    <col min="5635" max="5643" width="7.7109375" style="3" customWidth="1"/>
    <col min="5644" max="5644" width="8.28515625" style="3" customWidth="1"/>
    <col min="5645" max="5647" width="7.7109375" style="3" customWidth="1"/>
    <col min="5648" max="5889" width="11.42578125" style="3"/>
    <col min="5890" max="5890" width="26.85546875" style="3" customWidth="1"/>
    <col min="5891" max="5899" width="7.7109375" style="3" customWidth="1"/>
    <col min="5900" max="5900" width="8.28515625" style="3" customWidth="1"/>
    <col min="5901" max="5903" width="7.7109375" style="3" customWidth="1"/>
    <col min="5904" max="6145" width="11.42578125" style="3"/>
    <col min="6146" max="6146" width="26.85546875" style="3" customWidth="1"/>
    <col min="6147" max="6155" width="7.7109375" style="3" customWidth="1"/>
    <col min="6156" max="6156" width="8.28515625" style="3" customWidth="1"/>
    <col min="6157" max="6159" width="7.7109375" style="3" customWidth="1"/>
    <col min="6160" max="6401" width="11.42578125" style="3"/>
    <col min="6402" max="6402" width="26.85546875" style="3" customWidth="1"/>
    <col min="6403" max="6411" width="7.7109375" style="3" customWidth="1"/>
    <col min="6412" max="6412" width="8.28515625" style="3" customWidth="1"/>
    <col min="6413" max="6415" width="7.7109375" style="3" customWidth="1"/>
    <col min="6416" max="6657" width="11.42578125" style="3"/>
    <col min="6658" max="6658" width="26.85546875" style="3" customWidth="1"/>
    <col min="6659" max="6667" width="7.7109375" style="3" customWidth="1"/>
    <col min="6668" max="6668" width="8.28515625" style="3" customWidth="1"/>
    <col min="6669" max="6671" width="7.7109375" style="3" customWidth="1"/>
    <col min="6672" max="6913" width="11.42578125" style="3"/>
    <col min="6914" max="6914" width="26.85546875" style="3" customWidth="1"/>
    <col min="6915" max="6923" width="7.7109375" style="3" customWidth="1"/>
    <col min="6924" max="6924" width="8.28515625" style="3" customWidth="1"/>
    <col min="6925" max="6927" width="7.7109375" style="3" customWidth="1"/>
    <col min="6928" max="7169" width="11.42578125" style="3"/>
    <col min="7170" max="7170" width="26.85546875" style="3" customWidth="1"/>
    <col min="7171" max="7179" width="7.7109375" style="3" customWidth="1"/>
    <col min="7180" max="7180" width="8.28515625" style="3" customWidth="1"/>
    <col min="7181" max="7183" width="7.7109375" style="3" customWidth="1"/>
    <col min="7184" max="7425" width="11.42578125" style="3"/>
    <col min="7426" max="7426" width="26.85546875" style="3" customWidth="1"/>
    <col min="7427" max="7435" width="7.7109375" style="3" customWidth="1"/>
    <col min="7436" max="7436" width="8.28515625" style="3" customWidth="1"/>
    <col min="7437" max="7439" width="7.7109375" style="3" customWidth="1"/>
    <col min="7440" max="7681" width="11.42578125" style="3"/>
    <col min="7682" max="7682" width="26.85546875" style="3" customWidth="1"/>
    <col min="7683" max="7691" width="7.7109375" style="3" customWidth="1"/>
    <col min="7692" max="7692" width="8.28515625" style="3" customWidth="1"/>
    <col min="7693" max="7695" width="7.7109375" style="3" customWidth="1"/>
    <col min="7696" max="7937" width="11.42578125" style="3"/>
    <col min="7938" max="7938" width="26.85546875" style="3" customWidth="1"/>
    <col min="7939" max="7947" width="7.7109375" style="3" customWidth="1"/>
    <col min="7948" max="7948" width="8.28515625" style="3" customWidth="1"/>
    <col min="7949" max="7951" width="7.7109375" style="3" customWidth="1"/>
    <col min="7952" max="8193" width="11.42578125" style="3"/>
    <col min="8194" max="8194" width="26.85546875" style="3" customWidth="1"/>
    <col min="8195" max="8203" width="7.7109375" style="3" customWidth="1"/>
    <col min="8204" max="8204" width="8.28515625" style="3" customWidth="1"/>
    <col min="8205" max="8207" width="7.7109375" style="3" customWidth="1"/>
    <col min="8208" max="8449" width="11.42578125" style="3"/>
    <col min="8450" max="8450" width="26.85546875" style="3" customWidth="1"/>
    <col min="8451" max="8459" width="7.7109375" style="3" customWidth="1"/>
    <col min="8460" max="8460" width="8.28515625" style="3" customWidth="1"/>
    <col min="8461" max="8463" width="7.7109375" style="3" customWidth="1"/>
    <col min="8464" max="8705" width="11.42578125" style="3"/>
    <col min="8706" max="8706" width="26.85546875" style="3" customWidth="1"/>
    <col min="8707" max="8715" width="7.7109375" style="3" customWidth="1"/>
    <col min="8716" max="8716" width="8.28515625" style="3" customWidth="1"/>
    <col min="8717" max="8719" width="7.7109375" style="3" customWidth="1"/>
    <col min="8720" max="8961" width="11.42578125" style="3"/>
    <col min="8962" max="8962" width="26.85546875" style="3" customWidth="1"/>
    <col min="8963" max="8971" width="7.7109375" style="3" customWidth="1"/>
    <col min="8972" max="8972" width="8.28515625" style="3" customWidth="1"/>
    <col min="8973" max="8975" width="7.7109375" style="3" customWidth="1"/>
    <col min="8976" max="9217" width="11.42578125" style="3"/>
    <col min="9218" max="9218" width="26.85546875" style="3" customWidth="1"/>
    <col min="9219" max="9227" width="7.7109375" style="3" customWidth="1"/>
    <col min="9228" max="9228" width="8.28515625" style="3" customWidth="1"/>
    <col min="9229" max="9231" width="7.7109375" style="3" customWidth="1"/>
    <col min="9232" max="9473" width="11.42578125" style="3"/>
    <col min="9474" max="9474" width="26.85546875" style="3" customWidth="1"/>
    <col min="9475" max="9483" width="7.7109375" style="3" customWidth="1"/>
    <col min="9484" max="9484" width="8.28515625" style="3" customWidth="1"/>
    <col min="9485" max="9487" width="7.7109375" style="3" customWidth="1"/>
    <col min="9488" max="9729" width="11.42578125" style="3"/>
    <col min="9730" max="9730" width="26.85546875" style="3" customWidth="1"/>
    <col min="9731" max="9739" width="7.7109375" style="3" customWidth="1"/>
    <col min="9740" max="9740" width="8.28515625" style="3" customWidth="1"/>
    <col min="9741" max="9743" width="7.7109375" style="3" customWidth="1"/>
    <col min="9744" max="9985" width="11.42578125" style="3"/>
    <col min="9986" max="9986" width="26.85546875" style="3" customWidth="1"/>
    <col min="9987" max="9995" width="7.7109375" style="3" customWidth="1"/>
    <col min="9996" max="9996" width="8.28515625" style="3" customWidth="1"/>
    <col min="9997" max="9999" width="7.7109375" style="3" customWidth="1"/>
    <col min="10000" max="10241" width="11.42578125" style="3"/>
    <col min="10242" max="10242" width="26.85546875" style="3" customWidth="1"/>
    <col min="10243" max="10251" width="7.7109375" style="3" customWidth="1"/>
    <col min="10252" max="10252" width="8.28515625" style="3" customWidth="1"/>
    <col min="10253" max="10255" width="7.7109375" style="3" customWidth="1"/>
    <col min="10256" max="10497" width="11.42578125" style="3"/>
    <col min="10498" max="10498" width="26.85546875" style="3" customWidth="1"/>
    <col min="10499" max="10507" width="7.7109375" style="3" customWidth="1"/>
    <col min="10508" max="10508" width="8.28515625" style="3" customWidth="1"/>
    <col min="10509" max="10511" width="7.7109375" style="3" customWidth="1"/>
    <col min="10512" max="10753" width="11.42578125" style="3"/>
    <col min="10754" max="10754" width="26.85546875" style="3" customWidth="1"/>
    <col min="10755" max="10763" width="7.7109375" style="3" customWidth="1"/>
    <col min="10764" max="10764" width="8.28515625" style="3" customWidth="1"/>
    <col min="10765" max="10767" width="7.7109375" style="3" customWidth="1"/>
    <col min="10768" max="11009" width="11.42578125" style="3"/>
    <col min="11010" max="11010" width="26.85546875" style="3" customWidth="1"/>
    <col min="11011" max="11019" width="7.7109375" style="3" customWidth="1"/>
    <col min="11020" max="11020" width="8.28515625" style="3" customWidth="1"/>
    <col min="11021" max="11023" width="7.7109375" style="3" customWidth="1"/>
    <col min="11024" max="11265" width="11.42578125" style="3"/>
    <col min="11266" max="11266" width="26.85546875" style="3" customWidth="1"/>
    <col min="11267" max="11275" width="7.7109375" style="3" customWidth="1"/>
    <col min="11276" max="11276" width="8.28515625" style="3" customWidth="1"/>
    <col min="11277" max="11279" width="7.7109375" style="3" customWidth="1"/>
    <col min="11280" max="11521" width="11.42578125" style="3"/>
    <col min="11522" max="11522" width="26.85546875" style="3" customWidth="1"/>
    <col min="11523" max="11531" width="7.7109375" style="3" customWidth="1"/>
    <col min="11532" max="11532" width="8.28515625" style="3" customWidth="1"/>
    <col min="11533" max="11535" width="7.7109375" style="3" customWidth="1"/>
    <col min="11536" max="11777" width="11.42578125" style="3"/>
    <col min="11778" max="11778" width="26.85546875" style="3" customWidth="1"/>
    <col min="11779" max="11787" width="7.7109375" style="3" customWidth="1"/>
    <col min="11788" max="11788" width="8.28515625" style="3" customWidth="1"/>
    <col min="11789" max="11791" width="7.7109375" style="3" customWidth="1"/>
    <col min="11792" max="12033" width="11.42578125" style="3"/>
    <col min="12034" max="12034" width="26.85546875" style="3" customWidth="1"/>
    <col min="12035" max="12043" width="7.7109375" style="3" customWidth="1"/>
    <col min="12044" max="12044" width="8.28515625" style="3" customWidth="1"/>
    <col min="12045" max="12047" width="7.7109375" style="3" customWidth="1"/>
    <col min="12048" max="12289" width="11.42578125" style="3"/>
    <col min="12290" max="12290" width="26.85546875" style="3" customWidth="1"/>
    <col min="12291" max="12299" width="7.7109375" style="3" customWidth="1"/>
    <col min="12300" max="12300" width="8.28515625" style="3" customWidth="1"/>
    <col min="12301" max="12303" width="7.7109375" style="3" customWidth="1"/>
    <col min="12304" max="12545" width="11.42578125" style="3"/>
    <col min="12546" max="12546" width="26.85546875" style="3" customWidth="1"/>
    <col min="12547" max="12555" width="7.7109375" style="3" customWidth="1"/>
    <col min="12556" max="12556" width="8.28515625" style="3" customWidth="1"/>
    <col min="12557" max="12559" width="7.7109375" style="3" customWidth="1"/>
    <col min="12560" max="12801" width="11.42578125" style="3"/>
    <col min="12802" max="12802" width="26.85546875" style="3" customWidth="1"/>
    <col min="12803" max="12811" width="7.7109375" style="3" customWidth="1"/>
    <col min="12812" max="12812" width="8.28515625" style="3" customWidth="1"/>
    <col min="12813" max="12815" width="7.7109375" style="3" customWidth="1"/>
    <col min="12816" max="13057" width="11.42578125" style="3"/>
    <col min="13058" max="13058" width="26.85546875" style="3" customWidth="1"/>
    <col min="13059" max="13067" width="7.7109375" style="3" customWidth="1"/>
    <col min="13068" max="13068" width="8.28515625" style="3" customWidth="1"/>
    <col min="13069" max="13071" width="7.7109375" style="3" customWidth="1"/>
    <col min="13072" max="13313" width="11.42578125" style="3"/>
    <col min="13314" max="13314" width="26.85546875" style="3" customWidth="1"/>
    <col min="13315" max="13323" width="7.7109375" style="3" customWidth="1"/>
    <col min="13324" max="13324" width="8.28515625" style="3" customWidth="1"/>
    <col min="13325" max="13327" width="7.7109375" style="3" customWidth="1"/>
    <col min="13328" max="13569" width="11.42578125" style="3"/>
    <col min="13570" max="13570" width="26.85546875" style="3" customWidth="1"/>
    <col min="13571" max="13579" width="7.7109375" style="3" customWidth="1"/>
    <col min="13580" max="13580" width="8.28515625" style="3" customWidth="1"/>
    <col min="13581" max="13583" width="7.7109375" style="3" customWidth="1"/>
    <col min="13584" max="13825" width="11.42578125" style="3"/>
    <col min="13826" max="13826" width="26.85546875" style="3" customWidth="1"/>
    <col min="13827" max="13835" width="7.7109375" style="3" customWidth="1"/>
    <col min="13836" max="13836" width="8.28515625" style="3" customWidth="1"/>
    <col min="13837" max="13839" width="7.7109375" style="3" customWidth="1"/>
    <col min="13840" max="14081" width="11.42578125" style="3"/>
    <col min="14082" max="14082" width="26.85546875" style="3" customWidth="1"/>
    <col min="14083" max="14091" width="7.7109375" style="3" customWidth="1"/>
    <col min="14092" max="14092" width="8.28515625" style="3" customWidth="1"/>
    <col min="14093" max="14095" width="7.7109375" style="3" customWidth="1"/>
    <col min="14096" max="14337" width="11.42578125" style="3"/>
    <col min="14338" max="14338" width="26.85546875" style="3" customWidth="1"/>
    <col min="14339" max="14347" width="7.7109375" style="3" customWidth="1"/>
    <col min="14348" max="14348" width="8.28515625" style="3" customWidth="1"/>
    <col min="14349" max="14351" width="7.7109375" style="3" customWidth="1"/>
    <col min="14352" max="14593" width="11.42578125" style="3"/>
    <col min="14594" max="14594" width="26.85546875" style="3" customWidth="1"/>
    <col min="14595" max="14603" width="7.7109375" style="3" customWidth="1"/>
    <col min="14604" max="14604" width="8.28515625" style="3" customWidth="1"/>
    <col min="14605" max="14607" width="7.7109375" style="3" customWidth="1"/>
    <col min="14608" max="14849" width="11.42578125" style="3"/>
    <col min="14850" max="14850" width="26.85546875" style="3" customWidth="1"/>
    <col min="14851" max="14859" width="7.7109375" style="3" customWidth="1"/>
    <col min="14860" max="14860" width="8.28515625" style="3" customWidth="1"/>
    <col min="14861" max="14863" width="7.7109375" style="3" customWidth="1"/>
    <col min="14864" max="15105" width="11.42578125" style="3"/>
    <col min="15106" max="15106" width="26.85546875" style="3" customWidth="1"/>
    <col min="15107" max="15115" width="7.7109375" style="3" customWidth="1"/>
    <col min="15116" max="15116" width="8.28515625" style="3" customWidth="1"/>
    <col min="15117" max="15119" width="7.7109375" style="3" customWidth="1"/>
    <col min="15120" max="15361" width="11.42578125" style="3"/>
    <col min="15362" max="15362" width="26.85546875" style="3" customWidth="1"/>
    <col min="15363" max="15371" width="7.7109375" style="3" customWidth="1"/>
    <col min="15372" max="15372" width="8.28515625" style="3" customWidth="1"/>
    <col min="15373" max="15375" width="7.7109375" style="3" customWidth="1"/>
    <col min="15376" max="15617" width="11.42578125" style="3"/>
    <col min="15618" max="15618" width="26.85546875" style="3" customWidth="1"/>
    <col min="15619" max="15627" width="7.7109375" style="3" customWidth="1"/>
    <col min="15628" max="15628" width="8.28515625" style="3" customWidth="1"/>
    <col min="15629" max="15631" width="7.7109375" style="3" customWidth="1"/>
    <col min="15632" max="15873" width="11.42578125" style="3"/>
    <col min="15874" max="15874" width="26.85546875" style="3" customWidth="1"/>
    <col min="15875" max="15883" width="7.7109375" style="3" customWidth="1"/>
    <col min="15884" max="15884" width="8.28515625" style="3" customWidth="1"/>
    <col min="15885" max="15887" width="7.7109375" style="3" customWidth="1"/>
    <col min="15888" max="16129" width="11.42578125" style="3"/>
    <col min="16130" max="16130" width="26.85546875" style="3" customWidth="1"/>
    <col min="16131" max="16139" width="7.7109375" style="3" customWidth="1"/>
    <col min="16140" max="16140" width="8.28515625" style="3" customWidth="1"/>
    <col min="16141" max="16143" width="7.7109375" style="3" customWidth="1"/>
    <col min="16144" max="16384" width="11.42578125" style="3"/>
  </cols>
  <sheetData>
    <row r="1" spans="1:24" ht="25.5" customHeight="1" x14ac:dyDescent="0.25">
      <c r="A1" s="247"/>
      <c r="B1" s="248"/>
      <c r="C1" s="249"/>
      <c r="D1" s="243" t="s">
        <v>20</v>
      </c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4"/>
    </row>
    <row r="2" spans="1:24" ht="15.75" customHeight="1" thickBot="1" x14ac:dyDescent="0.3">
      <c r="A2" s="250"/>
      <c r="B2" s="251"/>
      <c r="C2" s="252"/>
      <c r="D2" s="245" t="s">
        <v>67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6"/>
    </row>
    <row r="3" spans="1:24" ht="13.5" customHeight="1" x14ac:dyDescent="0.25">
      <c r="A3" s="253" t="s">
        <v>0</v>
      </c>
      <c r="B3" s="254"/>
      <c r="C3" s="254"/>
      <c r="D3" s="254"/>
      <c r="E3" s="254"/>
      <c r="F3" s="254" t="str">
        <f>'SET SP Nataga'!J3</f>
        <v>GESTIÓN DE SERVICIOS PÚBLICOS - NATAGA</v>
      </c>
      <c r="G3" s="254"/>
      <c r="H3" s="254"/>
      <c r="I3" s="254"/>
      <c r="J3" s="254"/>
      <c r="K3" s="254"/>
      <c r="L3" s="254"/>
      <c r="M3" s="254"/>
      <c r="N3" s="254"/>
      <c r="O3" s="255"/>
    </row>
    <row r="4" spans="1:24" ht="15.75" customHeight="1" x14ac:dyDescent="0.25">
      <c r="A4" s="235" t="s">
        <v>1</v>
      </c>
      <c r="B4" s="236"/>
      <c r="C4" s="236"/>
      <c r="D4" s="236"/>
      <c r="E4" s="236"/>
      <c r="F4" s="256" t="str">
        <f>'SET SP Nataga'!$B6</f>
        <v>Eficiencia de Recaudo  Corriente</v>
      </c>
      <c r="G4" s="256"/>
      <c r="H4" s="257"/>
      <c r="I4" s="256"/>
      <c r="J4" s="256"/>
      <c r="K4" s="257"/>
      <c r="L4" s="256"/>
      <c r="M4" s="256"/>
      <c r="N4" s="256"/>
      <c r="O4" s="258"/>
    </row>
    <row r="5" spans="1:24" ht="15.75" customHeight="1" x14ac:dyDescent="0.25">
      <c r="A5" s="235" t="s">
        <v>55</v>
      </c>
      <c r="B5" s="236"/>
      <c r="C5" s="236"/>
      <c r="D5" s="236"/>
      <c r="E5" s="236"/>
      <c r="F5" s="238" t="str">
        <f>'SET SP Nataga'!F6</f>
        <v xml:space="preserve">Eficiencia </v>
      </c>
      <c r="G5" s="239"/>
      <c r="H5" s="239"/>
      <c r="I5" s="239"/>
      <c r="J5" s="239"/>
      <c r="K5" s="239"/>
      <c r="L5" s="239"/>
      <c r="M5" s="239"/>
      <c r="N5" s="239"/>
      <c r="O5" s="240"/>
    </row>
    <row r="6" spans="1:24" ht="17.25" customHeight="1" thickBot="1" x14ac:dyDescent="0.3">
      <c r="A6" s="259" t="s">
        <v>21</v>
      </c>
      <c r="B6" s="260"/>
      <c r="C6" s="260"/>
      <c r="D6" s="260"/>
      <c r="E6" s="260"/>
      <c r="F6" s="26" t="s">
        <v>94</v>
      </c>
      <c r="G6" s="261" t="str">
        <f>'SET SP Nataga'!A6</f>
        <v>IN01</v>
      </c>
      <c r="H6" s="262"/>
      <c r="I6" s="261"/>
      <c r="J6" s="261"/>
      <c r="K6" s="262"/>
      <c r="L6" s="261"/>
      <c r="M6" s="261"/>
      <c r="N6" s="261"/>
      <c r="O6" s="263"/>
    </row>
    <row r="7" spans="1:24" ht="12.75" customHeight="1" x14ac:dyDescent="0.25">
      <c r="A7" s="264" t="s">
        <v>22</v>
      </c>
      <c r="B7" s="265"/>
      <c r="C7" s="265"/>
      <c r="D7" s="265"/>
      <c r="E7" s="230" t="s">
        <v>23</v>
      </c>
      <c r="F7" s="230" t="s">
        <v>24</v>
      </c>
      <c r="G7" s="230"/>
      <c r="H7" s="230" t="s">
        <v>25</v>
      </c>
      <c r="I7" s="230" t="s">
        <v>26</v>
      </c>
      <c r="J7" s="230" t="s">
        <v>27</v>
      </c>
      <c r="K7" s="230"/>
      <c r="L7" s="232" t="s">
        <v>28</v>
      </c>
      <c r="M7" s="232"/>
      <c r="N7" s="232"/>
      <c r="O7" s="233"/>
    </row>
    <row r="8" spans="1:24" ht="46.5" customHeight="1" x14ac:dyDescent="0.25">
      <c r="A8" s="266"/>
      <c r="B8" s="234"/>
      <c r="C8" s="234"/>
      <c r="D8" s="234"/>
      <c r="E8" s="231"/>
      <c r="F8" s="231"/>
      <c r="G8" s="231"/>
      <c r="H8" s="231"/>
      <c r="I8" s="231"/>
      <c r="J8" s="231"/>
      <c r="K8" s="231"/>
      <c r="L8" s="234" t="s">
        <v>29</v>
      </c>
      <c r="M8" s="234"/>
      <c r="N8" s="234" t="s">
        <v>30</v>
      </c>
      <c r="O8" s="237"/>
    </row>
    <row r="9" spans="1:24" ht="46.5" customHeight="1" thickBot="1" x14ac:dyDescent="0.3">
      <c r="A9" s="206" t="str">
        <f>'SET SP Nataga'!$C6</f>
        <v>Medir la eficiencia en el recaudo corriente de la prestación de los servicios pubicos domiciliarios de Aguas del Huila.</v>
      </c>
      <c r="B9" s="207"/>
      <c r="C9" s="207"/>
      <c r="D9" s="207"/>
      <c r="E9" s="17" t="s">
        <v>35</v>
      </c>
      <c r="F9" s="207" t="str">
        <f>'SET SP Nataga'!$D6</f>
        <v>(Valor  Recaudado  Corriente Usuario Final / Valor  Facturado Corriente Usuario Final) x100%</v>
      </c>
      <c r="G9" s="207"/>
      <c r="H9" s="14">
        <f>$O16</f>
        <v>0</v>
      </c>
      <c r="I9" s="28" t="str">
        <f>'SET SP Nataga'!$E6</f>
        <v>Trimestral</v>
      </c>
      <c r="J9" s="208" t="s">
        <v>89</v>
      </c>
      <c r="K9" s="209"/>
      <c r="L9" s="209"/>
      <c r="M9" s="209"/>
      <c r="N9" s="209"/>
      <c r="O9" s="210"/>
    </row>
    <row r="10" spans="1:24" ht="13.5" customHeight="1" x14ac:dyDescent="0.25">
      <c r="A10" s="216" t="s">
        <v>38</v>
      </c>
      <c r="B10" s="217"/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8"/>
    </row>
    <row r="11" spans="1:24" ht="21.75" customHeight="1" thickBot="1" x14ac:dyDescent="0.3">
      <c r="A11" s="219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1"/>
    </row>
    <row r="12" spans="1:24" ht="15" customHeight="1" thickBot="1" x14ac:dyDescent="0.3">
      <c r="A12" s="222" t="s">
        <v>31</v>
      </c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4"/>
      <c r="V12" s="9"/>
      <c r="W12" s="27"/>
      <c r="X12" s="27"/>
    </row>
    <row r="13" spans="1:24" ht="16.5" customHeight="1" x14ac:dyDescent="0.25">
      <c r="A13" s="225" t="s">
        <v>273</v>
      </c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7"/>
      <c r="V13" s="9"/>
      <c r="W13" s="10"/>
      <c r="X13" s="10"/>
    </row>
    <row r="14" spans="1:24" ht="16.5" customHeight="1" x14ac:dyDescent="0.25">
      <c r="A14" s="228" t="s">
        <v>32</v>
      </c>
      <c r="B14" s="229"/>
      <c r="C14" s="135" t="s">
        <v>8</v>
      </c>
      <c r="D14" s="135" t="s">
        <v>9</v>
      </c>
      <c r="E14" s="135" t="s">
        <v>10</v>
      </c>
      <c r="F14" s="135" t="s">
        <v>11</v>
      </c>
      <c r="G14" s="135" t="s">
        <v>12</v>
      </c>
      <c r="H14" s="135" t="s">
        <v>13</v>
      </c>
      <c r="I14" s="135" t="s">
        <v>14</v>
      </c>
      <c r="J14" s="135" t="s">
        <v>15</v>
      </c>
      <c r="K14" s="135" t="s">
        <v>16</v>
      </c>
      <c r="L14" s="135" t="s">
        <v>17</v>
      </c>
      <c r="M14" s="135" t="s">
        <v>18</v>
      </c>
      <c r="N14" s="135" t="s">
        <v>19</v>
      </c>
      <c r="O14" s="6" t="s">
        <v>33</v>
      </c>
      <c r="V14" s="9"/>
      <c r="W14" s="10"/>
      <c r="X14" s="10"/>
    </row>
    <row r="15" spans="1:24" ht="16.5" customHeight="1" x14ac:dyDescent="0.25">
      <c r="A15" s="183" t="s">
        <v>39</v>
      </c>
      <c r="B15" s="184"/>
      <c r="C15" s="137">
        <f t="shared" ref="C15:N15" si="0">$O$15</f>
        <v>0</v>
      </c>
      <c r="D15" s="137">
        <f t="shared" si="0"/>
        <v>0</v>
      </c>
      <c r="E15" s="137">
        <f t="shared" si="0"/>
        <v>0</v>
      </c>
      <c r="F15" s="137">
        <f t="shared" si="0"/>
        <v>0</v>
      </c>
      <c r="G15" s="137">
        <f t="shared" si="0"/>
        <v>0</v>
      </c>
      <c r="H15" s="137">
        <f t="shared" si="0"/>
        <v>0</v>
      </c>
      <c r="I15" s="137">
        <f t="shared" si="0"/>
        <v>0</v>
      </c>
      <c r="J15" s="137">
        <f t="shared" si="0"/>
        <v>0</v>
      </c>
      <c r="K15" s="137">
        <f t="shared" si="0"/>
        <v>0</v>
      </c>
      <c r="L15" s="137">
        <f t="shared" si="0"/>
        <v>0</v>
      </c>
      <c r="M15" s="137">
        <f t="shared" si="0"/>
        <v>0</v>
      </c>
      <c r="N15" s="137">
        <f t="shared" si="0"/>
        <v>0</v>
      </c>
      <c r="O15" s="138">
        <f>'SET SP Nataga'!J6</f>
        <v>0</v>
      </c>
      <c r="V15" s="9"/>
      <c r="W15" s="10"/>
      <c r="X15" s="10"/>
    </row>
    <row r="16" spans="1:24" ht="17.25" customHeight="1" x14ac:dyDescent="0.25">
      <c r="A16" s="183" t="s">
        <v>272</v>
      </c>
      <c r="B16" s="184"/>
      <c r="C16" s="137">
        <f t="shared" ref="C16:N16" si="1">$O$16</f>
        <v>0</v>
      </c>
      <c r="D16" s="137">
        <f t="shared" si="1"/>
        <v>0</v>
      </c>
      <c r="E16" s="137">
        <f t="shared" si="1"/>
        <v>0</v>
      </c>
      <c r="F16" s="137">
        <f t="shared" si="1"/>
        <v>0</v>
      </c>
      <c r="G16" s="137">
        <f t="shared" si="1"/>
        <v>0</v>
      </c>
      <c r="H16" s="137">
        <f t="shared" si="1"/>
        <v>0</v>
      </c>
      <c r="I16" s="137">
        <f t="shared" si="1"/>
        <v>0</v>
      </c>
      <c r="J16" s="137">
        <f t="shared" si="1"/>
        <v>0</v>
      </c>
      <c r="K16" s="137">
        <f t="shared" si="1"/>
        <v>0</v>
      </c>
      <c r="L16" s="137">
        <f t="shared" si="1"/>
        <v>0</v>
      </c>
      <c r="M16" s="137">
        <f t="shared" si="1"/>
        <v>0</v>
      </c>
      <c r="N16" s="137">
        <f t="shared" si="1"/>
        <v>0</v>
      </c>
      <c r="O16" s="138">
        <f>'SET SP Nataga'!K6</f>
        <v>0</v>
      </c>
      <c r="V16" s="9"/>
      <c r="W16" s="10"/>
      <c r="X16" s="10"/>
    </row>
    <row r="17" spans="1:24" ht="17.25" customHeight="1" x14ac:dyDescent="0.25">
      <c r="A17" s="187" t="s">
        <v>263</v>
      </c>
      <c r="B17" s="188"/>
      <c r="C17" s="12">
        <f t="shared" ref="C17:E17" si="2">IF((C19),C18/C19,"-")</f>
        <v>0.94317520379295061</v>
      </c>
      <c r="D17" s="12">
        <f t="shared" si="2"/>
        <v>0.93226134970438923</v>
      </c>
      <c r="E17" s="12">
        <f t="shared" si="2"/>
        <v>0.92963149633031028</v>
      </c>
      <c r="F17" s="12">
        <f>IF((F19),F18/F19,"-")</f>
        <v>0.9017271714848667</v>
      </c>
      <c r="G17" s="12">
        <f t="shared" ref="G17:O17" si="3">IF((G19),G18/G19,"-")</f>
        <v>0.90750047540137457</v>
      </c>
      <c r="H17" s="12">
        <f t="shared" si="3"/>
        <v>0.75392580098877382</v>
      </c>
      <c r="I17" s="12">
        <f t="shared" si="3"/>
        <v>0.9031394256581845</v>
      </c>
      <c r="J17" s="12">
        <f t="shared" si="3"/>
        <v>0.87792860886754509</v>
      </c>
      <c r="K17" s="12">
        <f t="shared" si="3"/>
        <v>0.93377584397572244</v>
      </c>
      <c r="L17" s="12">
        <f t="shared" si="3"/>
        <v>0.87631988213145617</v>
      </c>
      <c r="M17" s="12">
        <f t="shared" si="3"/>
        <v>0.8748505469716864</v>
      </c>
      <c r="N17" s="12">
        <f t="shared" si="3"/>
        <v>0.87382890970314453</v>
      </c>
      <c r="O17" s="13">
        <f t="shared" si="3"/>
        <v>0.89386106336415228</v>
      </c>
      <c r="V17" s="9"/>
      <c r="W17" s="10"/>
      <c r="X17" s="10"/>
    </row>
    <row r="18" spans="1:24" ht="23.25" customHeight="1" x14ac:dyDescent="0.25">
      <c r="A18" s="189" t="s">
        <v>37</v>
      </c>
      <c r="B18" s="39" t="s">
        <v>130</v>
      </c>
      <c r="C18" s="62">
        <f>+'NATAGA-18'!D$15+'NATAGA-18'!D$17+'NATAGA-18'!D$19</f>
        <v>18248850</v>
      </c>
      <c r="D18" s="62">
        <f>+'NATAGA-18'!E$15+'NATAGA-18'!E$17+'NATAGA-18'!E$19</f>
        <v>12735186</v>
      </c>
      <c r="E18" s="62">
        <f>+'NATAGA-18'!F$15+'NATAGA-18'!F$17+'NATAGA-18'!F$19</f>
        <v>12793267</v>
      </c>
      <c r="F18" s="62">
        <f>+'NATAGA-18'!G$15+'NATAGA-18'!G$17+'NATAGA-18'!G$19</f>
        <v>13683800</v>
      </c>
      <c r="G18" s="62">
        <f>+'NATAGA-18'!H$15+'NATAGA-18'!H$17+'NATAGA-18'!H$19</f>
        <v>13362400</v>
      </c>
      <c r="H18" s="62">
        <f>+'NATAGA-18'!I$16+'NATAGA-18'!I$17+'NATAGA-18'!I$19</f>
        <v>11040791</v>
      </c>
      <c r="I18" s="62">
        <f>+'NATAGA-18'!J$15+'NATAGA-18'!J$17+'NATAGA-18'!J$19</f>
        <v>14138300</v>
      </c>
      <c r="J18" s="62">
        <f>+'NATAGA-18'!K$15+'NATAGA-18'!K$17+'NATAGA-18'!K$19</f>
        <v>13006148</v>
      </c>
      <c r="K18" s="62">
        <f>+'NATAGA-18'!L$15+'NATAGA-18'!L$17+'NATAGA-18'!L$19</f>
        <v>15215784</v>
      </c>
      <c r="L18" s="62">
        <f>+'NATAGA-18'!M$15+'NATAGA-18'!M$17+'NATAGA-18'!M$19</f>
        <v>12311900</v>
      </c>
      <c r="M18" s="62">
        <f>+'NATAGA-18'!N$15+'NATAGA-18'!N$17+'NATAGA-18'!N$19</f>
        <v>12759564</v>
      </c>
      <c r="N18" s="62">
        <f>+'NATAGA-18'!O$15+'NATAGA-18'!O$17+'NATAGA-18'!O$19</f>
        <v>12118871</v>
      </c>
      <c r="O18" s="63">
        <f>SUM(C18:N18)</f>
        <v>161414861</v>
      </c>
      <c r="V18" s="9"/>
      <c r="W18" s="10"/>
      <c r="X18" s="10"/>
    </row>
    <row r="19" spans="1:24" ht="17.25" customHeight="1" x14ac:dyDescent="0.25">
      <c r="A19" s="189"/>
      <c r="B19" s="39" t="s">
        <v>129</v>
      </c>
      <c r="C19" s="62">
        <f>+'NATAGA-18'!D$14+'NATAGA-18'!D$16+'NATAGA-18'!D$18</f>
        <v>19348314</v>
      </c>
      <c r="D19" s="62">
        <f>+'NATAGA-18'!E$14+'NATAGA-18'!E$16+'NATAGA-18'!E$18</f>
        <v>13660532</v>
      </c>
      <c r="E19" s="62">
        <f>+'NATAGA-18'!F$14+'NATAGA-18'!F$16+'NATAGA-18'!F$18</f>
        <v>13761654</v>
      </c>
      <c r="F19" s="62">
        <f>+'NATAGA-18'!G$14+'NATAGA-18'!G$16+'NATAGA-18'!G$18</f>
        <v>15175100</v>
      </c>
      <c r="G19" s="62">
        <f>+'NATAGA-18'!H$14+'NATAGA-18'!H$16+'NATAGA-18'!H$18</f>
        <v>14724400</v>
      </c>
      <c r="H19" s="62">
        <f>+'NATAGA-18'!I$14+'NATAGA-18'!I$16+'NATAGA-18'!I$18</f>
        <v>14644400</v>
      </c>
      <c r="I19" s="62">
        <f>+'NATAGA-18'!J$14+'NATAGA-18'!J$16+'NATAGA-18'!J$18</f>
        <v>15654615</v>
      </c>
      <c r="J19" s="62">
        <f>+'NATAGA-18'!K$14+'NATAGA-18'!K$16+'NATAGA-18'!K$18</f>
        <v>14814585</v>
      </c>
      <c r="K19" s="62">
        <f>+'NATAGA-18'!L$14+'NATAGA-18'!L$16+'NATAGA-18'!L$18</f>
        <v>16294900</v>
      </c>
      <c r="L19" s="62">
        <f>+'NATAGA-18'!M$14+'NATAGA-18'!M$16+'NATAGA-18'!M$18</f>
        <v>14049550</v>
      </c>
      <c r="M19" s="62">
        <f>+'NATAGA-18'!N$14+'NATAGA-18'!N$16+'NATAGA-18'!N$18</f>
        <v>14584850</v>
      </c>
      <c r="N19" s="62">
        <f>+'NATAGA-18'!O$14+'NATAGA-18'!O$16+'NATAGA-18'!O$18</f>
        <v>13868700</v>
      </c>
      <c r="O19" s="63">
        <f>SUM(C19:N19)</f>
        <v>180581600</v>
      </c>
      <c r="V19" s="9"/>
      <c r="W19" s="10"/>
      <c r="X19" s="10"/>
    </row>
    <row r="20" spans="1:24" ht="17.25" customHeight="1" x14ac:dyDescent="0.25">
      <c r="A20" s="189"/>
      <c r="B20" s="39"/>
      <c r="C20" s="56"/>
      <c r="D20" s="56"/>
      <c r="E20" s="56"/>
      <c r="F20" s="56"/>
      <c r="G20" s="56"/>
      <c r="H20" s="56"/>
      <c r="I20" s="56"/>
      <c r="J20" s="56"/>
      <c r="K20" s="4"/>
      <c r="L20" s="4"/>
      <c r="M20" s="4"/>
      <c r="N20" s="4"/>
      <c r="O20" s="63"/>
      <c r="V20" s="9"/>
      <c r="W20" s="10"/>
      <c r="X20" s="10"/>
    </row>
    <row r="21" spans="1:24" ht="18" customHeight="1" thickBot="1" x14ac:dyDescent="0.3">
      <c r="A21" s="190"/>
      <c r="B21" s="40" t="s">
        <v>3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20"/>
      <c r="V21" s="9"/>
      <c r="W21" s="10"/>
      <c r="X21" s="10"/>
    </row>
    <row r="22" spans="1:24" ht="14.25" customHeight="1" thickBot="1" x14ac:dyDescent="0.3">
      <c r="A22" s="191" t="s">
        <v>34</v>
      </c>
      <c r="B22" s="192"/>
      <c r="C22" s="193"/>
      <c r="D22" s="180" t="str">
        <f>'SET SP Nataga'!$G6</f>
        <v>Entre 80% y 100%</v>
      </c>
      <c r="E22" s="181"/>
      <c r="F22" s="181"/>
      <c r="G22" s="182"/>
      <c r="H22" s="180" t="str">
        <f>'SET SP Nataga'!$H6</f>
        <v>Entre 60% y 79%</v>
      </c>
      <c r="I22" s="181"/>
      <c r="J22" s="181"/>
      <c r="K22" s="182"/>
      <c r="L22" s="180" t="str">
        <f>'SET SP Nataga'!$I6</f>
        <v>Menor al 59%</v>
      </c>
      <c r="M22" s="185"/>
      <c r="N22" s="185"/>
      <c r="O22" s="186"/>
      <c r="V22" s="9"/>
      <c r="W22" s="10"/>
      <c r="X22" s="10"/>
    </row>
    <row r="23" spans="1:24" ht="33" customHeight="1" thickBot="1" x14ac:dyDescent="0.3">
      <c r="A23" s="194"/>
      <c r="B23" s="195"/>
      <c r="C23" s="195"/>
      <c r="D23" s="196" t="s">
        <v>7</v>
      </c>
      <c r="E23" s="196"/>
      <c r="F23" s="196"/>
      <c r="G23" s="196"/>
      <c r="H23" s="197" t="s">
        <v>61</v>
      </c>
      <c r="I23" s="197"/>
      <c r="J23" s="197"/>
      <c r="K23" s="197"/>
      <c r="L23" s="211" t="s">
        <v>62</v>
      </c>
      <c r="M23" s="211"/>
      <c r="N23" s="211"/>
      <c r="O23" s="212"/>
      <c r="V23" s="9"/>
      <c r="W23" s="10"/>
      <c r="X23" s="10"/>
    </row>
    <row r="24" spans="1:24" ht="15.75" customHeight="1" thickBot="1" x14ac:dyDescent="0.3">
      <c r="A24" s="213" t="s">
        <v>36</v>
      </c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5"/>
      <c r="V24" s="9"/>
      <c r="W24" s="10"/>
      <c r="X24" s="10"/>
    </row>
    <row r="25" spans="1:24" ht="264.75" customHeight="1" thickBot="1" x14ac:dyDescent="0.3">
      <c r="A25" s="177"/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9"/>
      <c r="V25" s="9"/>
    </row>
    <row r="26" spans="1:24" ht="15" customHeight="1" x14ac:dyDescent="0.25">
      <c r="A26" s="198" t="s">
        <v>58</v>
      </c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200" t="s">
        <v>60</v>
      </c>
      <c r="O26" s="201"/>
    </row>
    <row r="27" spans="1:24" ht="15" x14ac:dyDescent="0.25">
      <c r="A27" s="202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41">
        <v>43101</v>
      </c>
      <c r="O27" s="242"/>
    </row>
    <row r="28" spans="1:24" ht="15" x14ac:dyDescent="0.25">
      <c r="A28" s="202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41">
        <v>43132</v>
      </c>
      <c r="O28" s="242"/>
    </row>
    <row r="29" spans="1:24" ht="15" x14ac:dyDescent="0.25">
      <c r="A29" s="202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41">
        <v>43160</v>
      </c>
      <c r="O29" s="242"/>
    </row>
    <row r="30" spans="1:24" ht="15" customHeight="1" x14ac:dyDescent="0.25">
      <c r="A30" s="202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41">
        <v>43191</v>
      </c>
      <c r="O30" s="242"/>
    </row>
    <row r="31" spans="1:24" ht="18" customHeight="1" x14ac:dyDescent="0.25">
      <c r="A31" s="202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41">
        <v>43221</v>
      </c>
      <c r="O31" s="242"/>
    </row>
    <row r="32" spans="1:24" ht="15" x14ac:dyDescent="0.25">
      <c r="A32" s="202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41">
        <v>43252</v>
      </c>
      <c r="O32" s="242"/>
    </row>
    <row r="33" spans="1:17" ht="15" x14ac:dyDescent="0.25">
      <c r="A33" s="202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41">
        <v>43282</v>
      </c>
      <c r="O33" s="242"/>
    </row>
    <row r="34" spans="1:17" ht="15" x14ac:dyDescent="0.25">
      <c r="A34" s="202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41">
        <v>43313</v>
      </c>
      <c r="O34" s="242"/>
    </row>
    <row r="35" spans="1:17" ht="15" x14ac:dyDescent="0.25">
      <c r="A35" s="202"/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41">
        <v>43344</v>
      </c>
      <c r="O35" s="242"/>
    </row>
    <row r="36" spans="1:17" ht="15" x14ac:dyDescent="0.25">
      <c r="A36" s="202"/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41">
        <v>43374</v>
      </c>
      <c r="O36" s="242"/>
    </row>
    <row r="37" spans="1:17" ht="15" x14ac:dyDescent="0.25">
      <c r="A37" s="202"/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41">
        <v>43405</v>
      </c>
      <c r="O37" s="242"/>
    </row>
    <row r="38" spans="1:17" ht="15.75" thickBot="1" x14ac:dyDescent="0.3">
      <c r="A38" s="202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41">
        <v>43435</v>
      </c>
      <c r="O38" s="242"/>
    </row>
    <row r="39" spans="1:17" ht="19.5" customHeight="1" x14ac:dyDescent="0.25">
      <c r="A39" s="198" t="s">
        <v>59</v>
      </c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200" t="s">
        <v>60</v>
      </c>
      <c r="O39" s="201"/>
    </row>
    <row r="40" spans="1:17" ht="21" customHeight="1" x14ac:dyDescent="0.25">
      <c r="A40" s="202"/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4"/>
      <c r="O40" s="205"/>
    </row>
    <row r="41" spans="1:17" ht="21" customHeight="1" thickBot="1" x14ac:dyDescent="0.3">
      <c r="A41" s="202"/>
      <c r="B41" s="203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4"/>
      <c r="O41" s="205"/>
    </row>
    <row r="42" spans="1:17" ht="24" customHeight="1" x14ac:dyDescent="0.25">
      <c r="A42" s="176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</row>
    <row r="44" spans="1:17" ht="14.25" x14ac:dyDescent="0.2">
      <c r="Q44" s="48" t="s">
        <v>81</v>
      </c>
    </row>
    <row r="45" spans="1:17" ht="14.25" x14ac:dyDescent="0.2">
      <c r="Q45" s="48" t="s">
        <v>82</v>
      </c>
    </row>
    <row r="46" spans="1:17" ht="14.25" x14ac:dyDescent="0.2">
      <c r="Q46" s="48" t="s">
        <v>83</v>
      </c>
    </row>
    <row r="47" spans="1:17" ht="14.25" x14ac:dyDescent="0.2">
      <c r="Q47" s="48" t="s">
        <v>84</v>
      </c>
    </row>
    <row r="48" spans="1:17" ht="14.25" x14ac:dyDescent="0.2">
      <c r="Q48" s="48" t="s">
        <v>85</v>
      </c>
    </row>
    <row r="49" spans="17:17" ht="14.25" x14ac:dyDescent="0.2">
      <c r="Q49" s="48" t="s">
        <v>86</v>
      </c>
    </row>
    <row r="50" spans="17:17" ht="14.25" x14ac:dyDescent="0.2">
      <c r="Q50" s="48" t="s">
        <v>87</v>
      </c>
    </row>
    <row r="51" spans="17:17" ht="14.25" x14ac:dyDescent="0.2">
      <c r="Q51" s="48" t="s">
        <v>88</v>
      </c>
    </row>
    <row r="52" spans="17:17" ht="14.25" x14ac:dyDescent="0.2">
      <c r="Q52" s="48" t="s">
        <v>89</v>
      </c>
    </row>
    <row r="53" spans="17:17" ht="14.25" x14ac:dyDescent="0.2">
      <c r="Q53" s="48" t="s">
        <v>90</v>
      </c>
    </row>
    <row r="54" spans="17:17" ht="14.25" x14ac:dyDescent="0.2">
      <c r="Q54" s="48" t="s">
        <v>91</v>
      </c>
    </row>
    <row r="55" spans="17:17" ht="14.25" x14ac:dyDescent="0.2">
      <c r="Q55" s="48" t="s">
        <v>92</v>
      </c>
    </row>
    <row r="56" spans="17:17" ht="14.25" x14ac:dyDescent="0.2">
      <c r="Q56" s="48" t="s">
        <v>93</v>
      </c>
    </row>
    <row r="58" spans="17:17" x14ac:dyDescent="0.25">
      <c r="Q58" s="11">
        <v>0.85</v>
      </c>
    </row>
    <row r="59" spans="17:17" x14ac:dyDescent="0.25">
      <c r="Q59" s="11">
        <v>0.9</v>
      </c>
    </row>
  </sheetData>
  <sheetProtection algorithmName="SHA-512" hashValue="Sa9cxmcNKbalsx8oyLweqC7d0LI1xWAeGhEz8LIJRUOwKkUlBxA6cVBxcskdQQILBJxh87V8/sy6czJxx7OH6A==" saltValue="7457xAkEeNz5CDJjLxZ40w==" spinCount="100000" sheet="1" objects="1" scenarios="1"/>
  <mergeCells count="74">
    <mergeCell ref="A41:M41"/>
    <mergeCell ref="N41:O41"/>
    <mergeCell ref="N38:O38"/>
    <mergeCell ref="A28:M28"/>
    <mergeCell ref="A29:M29"/>
    <mergeCell ref="A30:M30"/>
    <mergeCell ref="A36:M36"/>
    <mergeCell ref="A37:M37"/>
    <mergeCell ref="A38:M38"/>
    <mergeCell ref="A31:M31"/>
    <mergeCell ref="A32:M32"/>
    <mergeCell ref="A33:M33"/>
    <mergeCell ref="A34:M34"/>
    <mergeCell ref="A35:M35"/>
    <mergeCell ref="N29:O29"/>
    <mergeCell ref="N30:O30"/>
    <mergeCell ref="A26:M26"/>
    <mergeCell ref="N26:O26"/>
    <mergeCell ref="A27:M27"/>
    <mergeCell ref="N27:O27"/>
    <mergeCell ref="N28:O28"/>
    <mergeCell ref="N31:O31"/>
    <mergeCell ref="N32:O32"/>
    <mergeCell ref="N33:O33"/>
    <mergeCell ref="N34:O34"/>
    <mergeCell ref="N35:O35"/>
    <mergeCell ref="N36:O36"/>
    <mergeCell ref="N37:O37"/>
    <mergeCell ref="D1:O1"/>
    <mergeCell ref="D2:O2"/>
    <mergeCell ref="A1:C2"/>
    <mergeCell ref="A3:E3"/>
    <mergeCell ref="F3:O3"/>
    <mergeCell ref="A4:E4"/>
    <mergeCell ref="F4:O4"/>
    <mergeCell ref="A6:E6"/>
    <mergeCell ref="G6:O6"/>
    <mergeCell ref="A7:D8"/>
    <mergeCell ref="E7:E8"/>
    <mergeCell ref="F7:G8"/>
    <mergeCell ref="H7:H8"/>
    <mergeCell ref="I7:I8"/>
    <mergeCell ref="J7:K8"/>
    <mergeCell ref="L7:O7"/>
    <mergeCell ref="L8:M8"/>
    <mergeCell ref="A5:E5"/>
    <mergeCell ref="N8:O8"/>
    <mergeCell ref="F5:O5"/>
    <mergeCell ref="A9:D9"/>
    <mergeCell ref="F9:G9"/>
    <mergeCell ref="J9:O9"/>
    <mergeCell ref="L23:O23"/>
    <mergeCell ref="A24:O24"/>
    <mergeCell ref="A10:O10"/>
    <mergeCell ref="A11:O11"/>
    <mergeCell ref="A12:O12"/>
    <mergeCell ref="A13:O13"/>
    <mergeCell ref="A14:B14"/>
    <mergeCell ref="A42:O42"/>
    <mergeCell ref="A25:O25"/>
    <mergeCell ref="D22:G22"/>
    <mergeCell ref="A15:B15"/>
    <mergeCell ref="L22:O22"/>
    <mergeCell ref="H22:K22"/>
    <mergeCell ref="A16:B16"/>
    <mergeCell ref="A17:B17"/>
    <mergeCell ref="A18:A21"/>
    <mergeCell ref="A22:C23"/>
    <mergeCell ref="D23:G23"/>
    <mergeCell ref="H23:K23"/>
    <mergeCell ref="A39:M39"/>
    <mergeCell ref="N39:O39"/>
    <mergeCell ref="A40:M40"/>
    <mergeCell ref="N40:O40"/>
  </mergeCells>
  <dataValidations disablePrompts="1" count="1">
    <dataValidation type="list" allowBlank="1" showInputMessage="1" showErrorMessage="1" sqref="J9:O9">
      <formula1>$Q$44:$Q$56</formula1>
    </dataValidation>
  </dataValidations>
  <pageMargins left="0.39370078740157483" right="0.39370078740157483" top="0.35433070866141736" bottom="0.35433070866141736" header="0" footer="0"/>
  <pageSetup scale="73" orientation="portrait" horizontalDpi="4294967294" verticalDpi="4294967294" r:id="rId1"/>
  <headerFooter alignWithMargins="0">
    <oddFooter>&amp;R&amp;8Diseñado por: Wilson Andrade González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59"/>
  <sheetViews>
    <sheetView windowProtection="1" zoomScaleSheetLayoutView="72" workbookViewId="0">
      <selection activeCell="E18" sqref="E18"/>
    </sheetView>
  </sheetViews>
  <sheetFormatPr baseColWidth="10" defaultRowHeight="12.75" x14ac:dyDescent="0.25"/>
  <cols>
    <col min="1" max="1" width="3.85546875" style="3" customWidth="1"/>
    <col min="2" max="2" width="26.85546875" style="3" customWidth="1"/>
    <col min="3" max="3" width="10.28515625" style="3" customWidth="1"/>
    <col min="4" max="4" width="10.140625" style="3" bestFit="1" customWidth="1"/>
    <col min="5" max="5" width="10" style="3" customWidth="1"/>
    <col min="6" max="8" width="10.140625" style="3" bestFit="1" customWidth="1"/>
    <col min="9" max="9" width="10.140625" style="3" customWidth="1"/>
    <col min="10" max="10" width="11" style="3" customWidth="1"/>
    <col min="11" max="11" width="7.7109375" style="3" customWidth="1"/>
    <col min="12" max="12" width="8.28515625" style="3" customWidth="1"/>
    <col min="13" max="14" width="7.7109375" style="3" customWidth="1"/>
    <col min="15" max="15" width="9.85546875" style="3" customWidth="1"/>
    <col min="16" max="16" width="7.42578125" style="3" customWidth="1"/>
    <col min="17" max="18" width="7.42578125" style="3" hidden="1" customWidth="1"/>
    <col min="19" max="19" width="7.42578125" style="3" customWidth="1"/>
    <col min="20" max="20" width="11.42578125" style="3" customWidth="1"/>
    <col min="21" max="21" width="9" style="3" customWidth="1"/>
    <col min="22" max="22" width="5.7109375" style="3" customWidth="1"/>
    <col min="23" max="23" width="10.42578125" style="3" customWidth="1"/>
    <col min="24" max="24" width="10" style="3" customWidth="1"/>
    <col min="25" max="257" width="11.42578125" style="3"/>
    <col min="258" max="258" width="26.85546875" style="3" customWidth="1"/>
    <col min="259" max="267" width="7.7109375" style="3" customWidth="1"/>
    <col min="268" max="268" width="8.28515625" style="3" customWidth="1"/>
    <col min="269" max="271" width="7.7109375" style="3" customWidth="1"/>
    <col min="272" max="513" width="11.42578125" style="3"/>
    <col min="514" max="514" width="26.85546875" style="3" customWidth="1"/>
    <col min="515" max="523" width="7.7109375" style="3" customWidth="1"/>
    <col min="524" max="524" width="8.28515625" style="3" customWidth="1"/>
    <col min="525" max="527" width="7.7109375" style="3" customWidth="1"/>
    <col min="528" max="769" width="11.42578125" style="3"/>
    <col min="770" max="770" width="26.85546875" style="3" customWidth="1"/>
    <col min="771" max="779" width="7.7109375" style="3" customWidth="1"/>
    <col min="780" max="780" width="8.28515625" style="3" customWidth="1"/>
    <col min="781" max="783" width="7.7109375" style="3" customWidth="1"/>
    <col min="784" max="1025" width="11.42578125" style="3"/>
    <col min="1026" max="1026" width="26.85546875" style="3" customWidth="1"/>
    <col min="1027" max="1035" width="7.7109375" style="3" customWidth="1"/>
    <col min="1036" max="1036" width="8.28515625" style="3" customWidth="1"/>
    <col min="1037" max="1039" width="7.7109375" style="3" customWidth="1"/>
    <col min="1040" max="1281" width="11.42578125" style="3"/>
    <col min="1282" max="1282" width="26.85546875" style="3" customWidth="1"/>
    <col min="1283" max="1291" width="7.7109375" style="3" customWidth="1"/>
    <col min="1292" max="1292" width="8.28515625" style="3" customWidth="1"/>
    <col min="1293" max="1295" width="7.7109375" style="3" customWidth="1"/>
    <col min="1296" max="1537" width="11.42578125" style="3"/>
    <col min="1538" max="1538" width="26.85546875" style="3" customWidth="1"/>
    <col min="1539" max="1547" width="7.7109375" style="3" customWidth="1"/>
    <col min="1548" max="1548" width="8.28515625" style="3" customWidth="1"/>
    <col min="1549" max="1551" width="7.7109375" style="3" customWidth="1"/>
    <col min="1552" max="1793" width="11.42578125" style="3"/>
    <col min="1794" max="1794" width="26.85546875" style="3" customWidth="1"/>
    <col min="1795" max="1803" width="7.7109375" style="3" customWidth="1"/>
    <col min="1804" max="1804" width="8.28515625" style="3" customWidth="1"/>
    <col min="1805" max="1807" width="7.7109375" style="3" customWidth="1"/>
    <col min="1808" max="2049" width="11.42578125" style="3"/>
    <col min="2050" max="2050" width="26.85546875" style="3" customWidth="1"/>
    <col min="2051" max="2059" width="7.7109375" style="3" customWidth="1"/>
    <col min="2060" max="2060" width="8.28515625" style="3" customWidth="1"/>
    <col min="2061" max="2063" width="7.7109375" style="3" customWidth="1"/>
    <col min="2064" max="2305" width="11.42578125" style="3"/>
    <col min="2306" max="2306" width="26.85546875" style="3" customWidth="1"/>
    <col min="2307" max="2315" width="7.7109375" style="3" customWidth="1"/>
    <col min="2316" max="2316" width="8.28515625" style="3" customWidth="1"/>
    <col min="2317" max="2319" width="7.7109375" style="3" customWidth="1"/>
    <col min="2320" max="2561" width="11.42578125" style="3"/>
    <col min="2562" max="2562" width="26.85546875" style="3" customWidth="1"/>
    <col min="2563" max="2571" width="7.7109375" style="3" customWidth="1"/>
    <col min="2572" max="2572" width="8.28515625" style="3" customWidth="1"/>
    <col min="2573" max="2575" width="7.7109375" style="3" customWidth="1"/>
    <col min="2576" max="2817" width="11.42578125" style="3"/>
    <col min="2818" max="2818" width="26.85546875" style="3" customWidth="1"/>
    <col min="2819" max="2827" width="7.7109375" style="3" customWidth="1"/>
    <col min="2828" max="2828" width="8.28515625" style="3" customWidth="1"/>
    <col min="2829" max="2831" width="7.7109375" style="3" customWidth="1"/>
    <col min="2832" max="3073" width="11.42578125" style="3"/>
    <col min="3074" max="3074" width="26.85546875" style="3" customWidth="1"/>
    <col min="3075" max="3083" width="7.7109375" style="3" customWidth="1"/>
    <col min="3084" max="3084" width="8.28515625" style="3" customWidth="1"/>
    <col min="3085" max="3087" width="7.7109375" style="3" customWidth="1"/>
    <col min="3088" max="3329" width="11.42578125" style="3"/>
    <col min="3330" max="3330" width="26.85546875" style="3" customWidth="1"/>
    <col min="3331" max="3339" width="7.7109375" style="3" customWidth="1"/>
    <col min="3340" max="3340" width="8.28515625" style="3" customWidth="1"/>
    <col min="3341" max="3343" width="7.7109375" style="3" customWidth="1"/>
    <col min="3344" max="3585" width="11.42578125" style="3"/>
    <col min="3586" max="3586" width="26.85546875" style="3" customWidth="1"/>
    <col min="3587" max="3595" width="7.7109375" style="3" customWidth="1"/>
    <col min="3596" max="3596" width="8.28515625" style="3" customWidth="1"/>
    <col min="3597" max="3599" width="7.7109375" style="3" customWidth="1"/>
    <col min="3600" max="3841" width="11.42578125" style="3"/>
    <col min="3842" max="3842" width="26.85546875" style="3" customWidth="1"/>
    <col min="3843" max="3851" width="7.7109375" style="3" customWidth="1"/>
    <col min="3852" max="3852" width="8.28515625" style="3" customWidth="1"/>
    <col min="3853" max="3855" width="7.7109375" style="3" customWidth="1"/>
    <col min="3856" max="4097" width="11.42578125" style="3"/>
    <col min="4098" max="4098" width="26.85546875" style="3" customWidth="1"/>
    <col min="4099" max="4107" width="7.7109375" style="3" customWidth="1"/>
    <col min="4108" max="4108" width="8.28515625" style="3" customWidth="1"/>
    <col min="4109" max="4111" width="7.7109375" style="3" customWidth="1"/>
    <col min="4112" max="4353" width="11.42578125" style="3"/>
    <col min="4354" max="4354" width="26.85546875" style="3" customWidth="1"/>
    <col min="4355" max="4363" width="7.7109375" style="3" customWidth="1"/>
    <col min="4364" max="4364" width="8.28515625" style="3" customWidth="1"/>
    <col min="4365" max="4367" width="7.7109375" style="3" customWidth="1"/>
    <col min="4368" max="4609" width="11.42578125" style="3"/>
    <col min="4610" max="4610" width="26.85546875" style="3" customWidth="1"/>
    <col min="4611" max="4619" width="7.7109375" style="3" customWidth="1"/>
    <col min="4620" max="4620" width="8.28515625" style="3" customWidth="1"/>
    <col min="4621" max="4623" width="7.7109375" style="3" customWidth="1"/>
    <col min="4624" max="4865" width="11.42578125" style="3"/>
    <col min="4866" max="4866" width="26.85546875" style="3" customWidth="1"/>
    <col min="4867" max="4875" width="7.7109375" style="3" customWidth="1"/>
    <col min="4876" max="4876" width="8.28515625" style="3" customWidth="1"/>
    <col min="4877" max="4879" width="7.7109375" style="3" customWidth="1"/>
    <col min="4880" max="5121" width="11.42578125" style="3"/>
    <col min="5122" max="5122" width="26.85546875" style="3" customWidth="1"/>
    <col min="5123" max="5131" width="7.7109375" style="3" customWidth="1"/>
    <col min="5132" max="5132" width="8.28515625" style="3" customWidth="1"/>
    <col min="5133" max="5135" width="7.7109375" style="3" customWidth="1"/>
    <col min="5136" max="5377" width="11.42578125" style="3"/>
    <col min="5378" max="5378" width="26.85546875" style="3" customWidth="1"/>
    <col min="5379" max="5387" width="7.7109375" style="3" customWidth="1"/>
    <col min="5388" max="5388" width="8.28515625" style="3" customWidth="1"/>
    <col min="5389" max="5391" width="7.7109375" style="3" customWidth="1"/>
    <col min="5392" max="5633" width="11.42578125" style="3"/>
    <col min="5634" max="5634" width="26.85546875" style="3" customWidth="1"/>
    <col min="5635" max="5643" width="7.7109375" style="3" customWidth="1"/>
    <col min="5644" max="5644" width="8.28515625" style="3" customWidth="1"/>
    <col min="5645" max="5647" width="7.7109375" style="3" customWidth="1"/>
    <col min="5648" max="5889" width="11.42578125" style="3"/>
    <col min="5890" max="5890" width="26.85546875" style="3" customWidth="1"/>
    <col min="5891" max="5899" width="7.7109375" style="3" customWidth="1"/>
    <col min="5900" max="5900" width="8.28515625" style="3" customWidth="1"/>
    <col min="5901" max="5903" width="7.7109375" style="3" customWidth="1"/>
    <col min="5904" max="6145" width="11.42578125" style="3"/>
    <col min="6146" max="6146" width="26.85546875" style="3" customWidth="1"/>
    <col min="6147" max="6155" width="7.7109375" style="3" customWidth="1"/>
    <col min="6156" max="6156" width="8.28515625" style="3" customWidth="1"/>
    <col min="6157" max="6159" width="7.7109375" style="3" customWidth="1"/>
    <col min="6160" max="6401" width="11.42578125" style="3"/>
    <col min="6402" max="6402" width="26.85546875" style="3" customWidth="1"/>
    <col min="6403" max="6411" width="7.7109375" style="3" customWidth="1"/>
    <col min="6412" max="6412" width="8.28515625" style="3" customWidth="1"/>
    <col min="6413" max="6415" width="7.7109375" style="3" customWidth="1"/>
    <col min="6416" max="6657" width="11.42578125" style="3"/>
    <col min="6658" max="6658" width="26.85546875" style="3" customWidth="1"/>
    <col min="6659" max="6667" width="7.7109375" style="3" customWidth="1"/>
    <col min="6668" max="6668" width="8.28515625" style="3" customWidth="1"/>
    <col min="6669" max="6671" width="7.7109375" style="3" customWidth="1"/>
    <col min="6672" max="6913" width="11.42578125" style="3"/>
    <col min="6914" max="6914" width="26.85546875" style="3" customWidth="1"/>
    <col min="6915" max="6923" width="7.7109375" style="3" customWidth="1"/>
    <col min="6924" max="6924" width="8.28515625" style="3" customWidth="1"/>
    <col min="6925" max="6927" width="7.7109375" style="3" customWidth="1"/>
    <col min="6928" max="7169" width="11.42578125" style="3"/>
    <col min="7170" max="7170" width="26.85546875" style="3" customWidth="1"/>
    <col min="7171" max="7179" width="7.7109375" style="3" customWidth="1"/>
    <col min="7180" max="7180" width="8.28515625" style="3" customWidth="1"/>
    <col min="7181" max="7183" width="7.7109375" style="3" customWidth="1"/>
    <col min="7184" max="7425" width="11.42578125" style="3"/>
    <col min="7426" max="7426" width="26.85546875" style="3" customWidth="1"/>
    <col min="7427" max="7435" width="7.7109375" style="3" customWidth="1"/>
    <col min="7436" max="7436" width="8.28515625" style="3" customWidth="1"/>
    <col min="7437" max="7439" width="7.7109375" style="3" customWidth="1"/>
    <col min="7440" max="7681" width="11.42578125" style="3"/>
    <col min="7682" max="7682" width="26.85546875" style="3" customWidth="1"/>
    <col min="7683" max="7691" width="7.7109375" style="3" customWidth="1"/>
    <col min="7692" max="7692" width="8.28515625" style="3" customWidth="1"/>
    <col min="7693" max="7695" width="7.7109375" style="3" customWidth="1"/>
    <col min="7696" max="7937" width="11.42578125" style="3"/>
    <col min="7938" max="7938" width="26.85546875" style="3" customWidth="1"/>
    <col min="7939" max="7947" width="7.7109375" style="3" customWidth="1"/>
    <col min="7948" max="7948" width="8.28515625" style="3" customWidth="1"/>
    <col min="7949" max="7951" width="7.7109375" style="3" customWidth="1"/>
    <col min="7952" max="8193" width="11.42578125" style="3"/>
    <col min="8194" max="8194" width="26.85546875" style="3" customWidth="1"/>
    <col min="8195" max="8203" width="7.7109375" style="3" customWidth="1"/>
    <col min="8204" max="8204" width="8.28515625" style="3" customWidth="1"/>
    <col min="8205" max="8207" width="7.7109375" style="3" customWidth="1"/>
    <col min="8208" max="8449" width="11.42578125" style="3"/>
    <col min="8450" max="8450" width="26.85546875" style="3" customWidth="1"/>
    <col min="8451" max="8459" width="7.7109375" style="3" customWidth="1"/>
    <col min="8460" max="8460" width="8.28515625" style="3" customWidth="1"/>
    <col min="8461" max="8463" width="7.7109375" style="3" customWidth="1"/>
    <col min="8464" max="8705" width="11.42578125" style="3"/>
    <col min="8706" max="8706" width="26.85546875" style="3" customWidth="1"/>
    <col min="8707" max="8715" width="7.7109375" style="3" customWidth="1"/>
    <col min="8716" max="8716" width="8.28515625" style="3" customWidth="1"/>
    <col min="8717" max="8719" width="7.7109375" style="3" customWidth="1"/>
    <col min="8720" max="8961" width="11.42578125" style="3"/>
    <col min="8962" max="8962" width="26.85546875" style="3" customWidth="1"/>
    <col min="8963" max="8971" width="7.7109375" style="3" customWidth="1"/>
    <col min="8972" max="8972" width="8.28515625" style="3" customWidth="1"/>
    <col min="8973" max="8975" width="7.7109375" style="3" customWidth="1"/>
    <col min="8976" max="9217" width="11.42578125" style="3"/>
    <col min="9218" max="9218" width="26.85546875" style="3" customWidth="1"/>
    <col min="9219" max="9227" width="7.7109375" style="3" customWidth="1"/>
    <col min="9228" max="9228" width="8.28515625" style="3" customWidth="1"/>
    <col min="9229" max="9231" width="7.7109375" style="3" customWidth="1"/>
    <col min="9232" max="9473" width="11.42578125" style="3"/>
    <col min="9474" max="9474" width="26.85546875" style="3" customWidth="1"/>
    <col min="9475" max="9483" width="7.7109375" style="3" customWidth="1"/>
    <col min="9484" max="9484" width="8.28515625" style="3" customWidth="1"/>
    <col min="9485" max="9487" width="7.7109375" style="3" customWidth="1"/>
    <col min="9488" max="9729" width="11.42578125" style="3"/>
    <col min="9730" max="9730" width="26.85546875" style="3" customWidth="1"/>
    <col min="9731" max="9739" width="7.7109375" style="3" customWidth="1"/>
    <col min="9740" max="9740" width="8.28515625" style="3" customWidth="1"/>
    <col min="9741" max="9743" width="7.7109375" style="3" customWidth="1"/>
    <col min="9744" max="9985" width="11.42578125" style="3"/>
    <col min="9986" max="9986" width="26.85546875" style="3" customWidth="1"/>
    <col min="9987" max="9995" width="7.7109375" style="3" customWidth="1"/>
    <col min="9996" max="9996" width="8.28515625" style="3" customWidth="1"/>
    <col min="9997" max="9999" width="7.7109375" style="3" customWidth="1"/>
    <col min="10000" max="10241" width="11.42578125" style="3"/>
    <col min="10242" max="10242" width="26.85546875" style="3" customWidth="1"/>
    <col min="10243" max="10251" width="7.7109375" style="3" customWidth="1"/>
    <col min="10252" max="10252" width="8.28515625" style="3" customWidth="1"/>
    <col min="10253" max="10255" width="7.7109375" style="3" customWidth="1"/>
    <col min="10256" max="10497" width="11.42578125" style="3"/>
    <col min="10498" max="10498" width="26.85546875" style="3" customWidth="1"/>
    <col min="10499" max="10507" width="7.7109375" style="3" customWidth="1"/>
    <col min="10508" max="10508" width="8.28515625" style="3" customWidth="1"/>
    <col min="10509" max="10511" width="7.7109375" style="3" customWidth="1"/>
    <col min="10512" max="10753" width="11.42578125" style="3"/>
    <col min="10754" max="10754" width="26.85546875" style="3" customWidth="1"/>
    <col min="10755" max="10763" width="7.7109375" style="3" customWidth="1"/>
    <col min="10764" max="10764" width="8.28515625" style="3" customWidth="1"/>
    <col min="10765" max="10767" width="7.7109375" style="3" customWidth="1"/>
    <col min="10768" max="11009" width="11.42578125" style="3"/>
    <col min="11010" max="11010" width="26.85546875" style="3" customWidth="1"/>
    <col min="11011" max="11019" width="7.7109375" style="3" customWidth="1"/>
    <col min="11020" max="11020" width="8.28515625" style="3" customWidth="1"/>
    <col min="11021" max="11023" width="7.7109375" style="3" customWidth="1"/>
    <col min="11024" max="11265" width="11.42578125" style="3"/>
    <col min="11266" max="11266" width="26.85546875" style="3" customWidth="1"/>
    <col min="11267" max="11275" width="7.7109375" style="3" customWidth="1"/>
    <col min="11276" max="11276" width="8.28515625" style="3" customWidth="1"/>
    <col min="11277" max="11279" width="7.7109375" style="3" customWidth="1"/>
    <col min="11280" max="11521" width="11.42578125" style="3"/>
    <col min="11522" max="11522" width="26.85546875" style="3" customWidth="1"/>
    <col min="11523" max="11531" width="7.7109375" style="3" customWidth="1"/>
    <col min="11532" max="11532" width="8.28515625" style="3" customWidth="1"/>
    <col min="11533" max="11535" width="7.7109375" style="3" customWidth="1"/>
    <col min="11536" max="11777" width="11.42578125" style="3"/>
    <col min="11778" max="11778" width="26.85546875" style="3" customWidth="1"/>
    <col min="11779" max="11787" width="7.7109375" style="3" customWidth="1"/>
    <col min="11788" max="11788" width="8.28515625" style="3" customWidth="1"/>
    <col min="11789" max="11791" width="7.7109375" style="3" customWidth="1"/>
    <col min="11792" max="12033" width="11.42578125" style="3"/>
    <col min="12034" max="12034" width="26.85546875" style="3" customWidth="1"/>
    <col min="12035" max="12043" width="7.7109375" style="3" customWidth="1"/>
    <col min="12044" max="12044" width="8.28515625" style="3" customWidth="1"/>
    <col min="12045" max="12047" width="7.7109375" style="3" customWidth="1"/>
    <col min="12048" max="12289" width="11.42578125" style="3"/>
    <col min="12290" max="12290" width="26.85546875" style="3" customWidth="1"/>
    <col min="12291" max="12299" width="7.7109375" style="3" customWidth="1"/>
    <col min="12300" max="12300" width="8.28515625" style="3" customWidth="1"/>
    <col min="12301" max="12303" width="7.7109375" style="3" customWidth="1"/>
    <col min="12304" max="12545" width="11.42578125" style="3"/>
    <col min="12546" max="12546" width="26.85546875" style="3" customWidth="1"/>
    <col min="12547" max="12555" width="7.7109375" style="3" customWidth="1"/>
    <col min="12556" max="12556" width="8.28515625" style="3" customWidth="1"/>
    <col min="12557" max="12559" width="7.7109375" style="3" customWidth="1"/>
    <col min="12560" max="12801" width="11.42578125" style="3"/>
    <col min="12802" max="12802" width="26.85546875" style="3" customWidth="1"/>
    <col min="12803" max="12811" width="7.7109375" style="3" customWidth="1"/>
    <col min="12812" max="12812" width="8.28515625" style="3" customWidth="1"/>
    <col min="12813" max="12815" width="7.7109375" style="3" customWidth="1"/>
    <col min="12816" max="13057" width="11.42578125" style="3"/>
    <col min="13058" max="13058" width="26.85546875" style="3" customWidth="1"/>
    <col min="13059" max="13067" width="7.7109375" style="3" customWidth="1"/>
    <col min="13068" max="13068" width="8.28515625" style="3" customWidth="1"/>
    <col min="13069" max="13071" width="7.7109375" style="3" customWidth="1"/>
    <col min="13072" max="13313" width="11.42578125" style="3"/>
    <col min="13314" max="13314" width="26.85546875" style="3" customWidth="1"/>
    <col min="13315" max="13323" width="7.7109375" style="3" customWidth="1"/>
    <col min="13324" max="13324" width="8.28515625" style="3" customWidth="1"/>
    <col min="13325" max="13327" width="7.7109375" style="3" customWidth="1"/>
    <col min="13328" max="13569" width="11.42578125" style="3"/>
    <col min="13570" max="13570" width="26.85546875" style="3" customWidth="1"/>
    <col min="13571" max="13579" width="7.7109375" style="3" customWidth="1"/>
    <col min="13580" max="13580" width="8.28515625" style="3" customWidth="1"/>
    <col min="13581" max="13583" width="7.7109375" style="3" customWidth="1"/>
    <col min="13584" max="13825" width="11.42578125" style="3"/>
    <col min="13826" max="13826" width="26.85546875" style="3" customWidth="1"/>
    <col min="13827" max="13835" width="7.7109375" style="3" customWidth="1"/>
    <col min="13836" max="13836" width="8.28515625" style="3" customWidth="1"/>
    <col min="13837" max="13839" width="7.7109375" style="3" customWidth="1"/>
    <col min="13840" max="14081" width="11.42578125" style="3"/>
    <col min="14082" max="14082" width="26.85546875" style="3" customWidth="1"/>
    <col min="14083" max="14091" width="7.7109375" style="3" customWidth="1"/>
    <col min="14092" max="14092" width="8.28515625" style="3" customWidth="1"/>
    <col min="14093" max="14095" width="7.7109375" style="3" customWidth="1"/>
    <col min="14096" max="14337" width="11.42578125" style="3"/>
    <col min="14338" max="14338" width="26.85546875" style="3" customWidth="1"/>
    <col min="14339" max="14347" width="7.7109375" style="3" customWidth="1"/>
    <col min="14348" max="14348" width="8.28515625" style="3" customWidth="1"/>
    <col min="14349" max="14351" width="7.7109375" style="3" customWidth="1"/>
    <col min="14352" max="14593" width="11.42578125" style="3"/>
    <col min="14594" max="14594" width="26.85546875" style="3" customWidth="1"/>
    <col min="14595" max="14603" width="7.7109375" style="3" customWidth="1"/>
    <col min="14604" max="14604" width="8.28515625" style="3" customWidth="1"/>
    <col min="14605" max="14607" width="7.7109375" style="3" customWidth="1"/>
    <col min="14608" max="14849" width="11.42578125" style="3"/>
    <col min="14850" max="14850" width="26.85546875" style="3" customWidth="1"/>
    <col min="14851" max="14859" width="7.7109375" style="3" customWidth="1"/>
    <col min="14860" max="14860" width="8.28515625" style="3" customWidth="1"/>
    <col min="14861" max="14863" width="7.7109375" style="3" customWidth="1"/>
    <col min="14864" max="15105" width="11.42578125" style="3"/>
    <col min="15106" max="15106" width="26.85546875" style="3" customWidth="1"/>
    <col min="15107" max="15115" width="7.7109375" style="3" customWidth="1"/>
    <col min="15116" max="15116" width="8.28515625" style="3" customWidth="1"/>
    <col min="15117" max="15119" width="7.7109375" style="3" customWidth="1"/>
    <col min="15120" max="15361" width="11.42578125" style="3"/>
    <col min="15362" max="15362" width="26.85546875" style="3" customWidth="1"/>
    <col min="15363" max="15371" width="7.7109375" style="3" customWidth="1"/>
    <col min="15372" max="15372" width="8.28515625" style="3" customWidth="1"/>
    <col min="15373" max="15375" width="7.7109375" style="3" customWidth="1"/>
    <col min="15376" max="15617" width="11.42578125" style="3"/>
    <col min="15618" max="15618" width="26.85546875" style="3" customWidth="1"/>
    <col min="15619" max="15627" width="7.7109375" style="3" customWidth="1"/>
    <col min="15628" max="15628" width="8.28515625" style="3" customWidth="1"/>
    <col min="15629" max="15631" width="7.7109375" style="3" customWidth="1"/>
    <col min="15632" max="15873" width="11.42578125" style="3"/>
    <col min="15874" max="15874" width="26.85546875" style="3" customWidth="1"/>
    <col min="15875" max="15883" width="7.7109375" style="3" customWidth="1"/>
    <col min="15884" max="15884" width="8.28515625" style="3" customWidth="1"/>
    <col min="15885" max="15887" width="7.7109375" style="3" customWidth="1"/>
    <col min="15888" max="16129" width="11.42578125" style="3"/>
    <col min="16130" max="16130" width="26.85546875" style="3" customWidth="1"/>
    <col min="16131" max="16139" width="7.7109375" style="3" customWidth="1"/>
    <col min="16140" max="16140" width="8.28515625" style="3" customWidth="1"/>
    <col min="16141" max="16143" width="7.7109375" style="3" customWidth="1"/>
    <col min="16144" max="16384" width="11.42578125" style="3"/>
  </cols>
  <sheetData>
    <row r="1" spans="1:24" ht="20.25" customHeight="1" x14ac:dyDescent="0.25">
      <c r="A1" s="247"/>
      <c r="B1" s="248"/>
      <c r="C1" s="249"/>
      <c r="D1" s="243" t="s">
        <v>20</v>
      </c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4"/>
    </row>
    <row r="2" spans="1:24" ht="15.75" customHeight="1" thickBot="1" x14ac:dyDescent="0.3">
      <c r="A2" s="250"/>
      <c r="B2" s="251"/>
      <c r="C2" s="252"/>
      <c r="D2" s="245" t="s">
        <v>67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6"/>
    </row>
    <row r="3" spans="1:24" ht="13.5" customHeight="1" x14ac:dyDescent="0.25">
      <c r="A3" s="253" t="s">
        <v>0</v>
      </c>
      <c r="B3" s="254"/>
      <c r="C3" s="254"/>
      <c r="D3" s="254"/>
      <c r="E3" s="254"/>
      <c r="F3" s="254" t="str">
        <f>'SET SP Nataga'!J3</f>
        <v>GESTIÓN DE SERVICIOS PÚBLICOS - NATAGA</v>
      </c>
      <c r="G3" s="254"/>
      <c r="H3" s="254"/>
      <c r="I3" s="254"/>
      <c r="J3" s="254"/>
      <c r="K3" s="254"/>
      <c r="L3" s="254"/>
      <c r="M3" s="254"/>
      <c r="N3" s="254"/>
      <c r="O3" s="255"/>
    </row>
    <row r="4" spans="1:24" ht="15.75" customHeight="1" x14ac:dyDescent="0.25">
      <c r="A4" s="235" t="s">
        <v>1</v>
      </c>
      <c r="B4" s="236"/>
      <c r="C4" s="236"/>
      <c r="D4" s="236"/>
      <c r="E4" s="236"/>
      <c r="F4" s="256" t="str">
        <f>'SET SP Nataga'!$B7</f>
        <v>Eficiencia de Recaudo Total</v>
      </c>
      <c r="G4" s="256"/>
      <c r="H4" s="256"/>
      <c r="I4" s="256"/>
      <c r="J4" s="256"/>
      <c r="K4" s="256"/>
      <c r="L4" s="256"/>
      <c r="M4" s="256"/>
      <c r="N4" s="256"/>
      <c r="O4" s="277"/>
    </row>
    <row r="5" spans="1:24" ht="15.75" customHeight="1" x14ac:dyDescent="0.25">
      <c r="A5" s="235" t="s">
        <v>55</v>
      </c>
      <c r="B5" s="236"/>
      <c r="C5" s="236"/>
      <c r="D5" s="236"/>
      <c r="E5" s="236"/>
      <c r="F5" s="238" t="str">
        <f>'SET SP Nataga'!F7</f>
        <v xml:space="preserve">Eficiencia </v>
      </c>
      <c r="G5" s="239"/>
      <c r="H5" s="239"/>
      <c r="I5" s="239"/>
      <c r="J5" s="239"/>
      <c r="K5" s="239"/>
      <c r="L5" s="239"/>
      <c r="M5" s="239"/>
      <c r="N5" s="239"/>
      <c r="O5" s="240"/>
    </row>
    <row r="6" spans="1:24" ht="17.25" customHeight="1" thickBot="1" x14ac:dyDescent="0.3">
      <c r="A6" s="259" t="s">
        <v>21</v>
      </c>
      <c r="B6" s="260"/>
      <c r="C6" s="260"/>
      <c r="D6" s="260"/>
      <c r="E6" s="260"/>
      <c r="F6" s="26" t="s">
        <v>94</v>
      </c>
      <c r="G6" s="261" t="str">
        <f>'SET SP Nataga'!A7</f>
        <v>IN02</v>
      </c>
      <c r="H6" s="261"/>
      <c r="I6" s="261"/>
      <c r="J6" s="261"/>
      <c r="K6" s="261"/>
      <c r="L6" s="261"/>
      <c r="M6" s="261"/>
      <c r="N6" s="261"/>
      <c r="O6" s="276"/>
    </row>
    <row r="7" spans="1:24" ht="12.75" customHeight="1" x14ac:dyDescent="0.25">
      <c r="A7" s="264" t="s">
        <v>22</v>
      </c>
      <c r="B7" s="265"/>
      <c r="C7" s="265"/>
      <c r="D7" s="265"/>
      <c r="E7" s="230" t="s">
        <v>23</v>
      </c>
      <c r="F7" s="230" t="s">
        <v>24</v>
      </c>
      <c r="G7" s="230"/>
      <c r="H7" s="230" t="s">
        <v>25</v>
      </c>
      <c r="I7" s="230" t="s">
        <v>26</v>
      </c>
      <c r="J7" s="230" t="s">
        <v>27</v>
      </c>
      <c r="K7" s="230"/>
      <c r="L7" s="232" t="s">
        <v>28</v>
      </c>
      <c r="M7" s="232"/>
      <c r="N7" s="232"/>
      <c r="O7" s="233"/>
    </row>
    <row r="8" spans="1:24" ht="46.5" customHeight="1" x14ac:dyDescent="0.25">
      <c r="A8" s="266"/>
      <c r="B8" s="234"/>
      <c r="C8" s="234"/>
      <c r="D8" s="234"/>
      <c r="E8" s="231"/>
      <c r="F8" s="231"/>
      <c r="G8" s="231"/>
      <c r="H8" s="231"/>
      <c r="I8" s="231"/>
      <c r="J8" s="231"/>
      <c r="K8" s="231"/>
      <c r="L8" s="234" t="s">
        <v>29</v>
      </c>
      <c r="M8" s="234"/>
      <c r="N8" s="234" t="s">
        <v>30</v>
      </c>
      <c r="O8" s="237"/>
    </row>
    <row r="9" spans="1:24" ht="45.75" customHeight="1" thickBot="1" x14ac:dyDescent="0.3">
      <c r="A9" s="206" t="str">
        <f>'SET SP Nataga'!$C7</f>
        <v>Medir la eficiencia en el recaudo total de la prestación de los servicios pubicos domiciliarios de Aguas del Huila.</v>
      </c>
      <c r="B9" s="207"/>
      <c r="C9" s="207"/>
      <c r="D9" s="207"/>
      <c r="E9" s="17" t="s">
        <v>35</v>
      </c>
      <c r="F9" s="207" t="str">
        <f>'SET SP Nataga'!$D7</f>
        <v>(Valor  Recaudado  Total Usuario Final / Valor  total Facturado usuario Final) x100%</v>
      </c>
      <c r="G9" s="207"/>
      <c r="H9" s="14">
        <f>$O16</f>
        <v>0</v>
      </c>
      <c r="I9" s="28" t="str">
        <f>'SET SP Nataga'!$E7</f>
        <v>Trimestral</v>
      </c>
      <c r="J9" s="208" t="s">
        <v>89</v>
      </c>
      <c r="K9" s="209"/>
      <c r="L9" s="209"/>
      <c r="M9" s="209"/>
      <c r="N9" s="209"/>
      <c r="O9" s="210"/>
    </row>
    <row r="10" spans="1:24" ht="13.5" customHeight="1" x14ac:dyDescent="0.25">
      <c r="A10" s="216" t="s">
        <v>38</v>
      </c>
      <c r="B10" s="217"/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8"/>
    </row>
    <row r="11" spans="1:24" ht="35.25" customHeight="1" thickBot="1" x14ac:dyDescent="0.3">
      <c r="A11" s="219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1"/>
    </row>
    <row r="12" spans="1:24" ht="15" customHeight="1" thickBot="1" x14ac:dyDescent="0.3">
      <c r="A12" s="222" t="s">
        <v>31</v>
      </c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4"/>
      <c r="V12" s="9"/>
      <c r="W12" s="27"/>
      <c r="X12" s="27"/>
    </row>
    <row r="13" spans="1:24" ht="16.5" customHeight="1" x14ac:dyDescent="0.25">
      <c r="A13" s="225" t="s">
        <v>273</v>
      </c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7"/>
      <c r="V13" s="9"/>
      <c r="W13" s="10"/>
      <c r="X13" s="10"/>
    </row>
    <row r="14" spans="1:24" ht="16.5" customHeight="1" x14ac:dyDescent="0.25">
      <c r="A14" s="228" t="s">
        <v>32</v>
      </c>
      <c r="B14" s="229"/>
      <c r="C14" s="135" t="s">
        <v>8</v>
      </c>
      <c r="D14" s="135" t="s">
        <v>9</v>
      </c>
      <c r="E14" s="135" t="s">
        <v>10</v>
      </c>
      <c r="F14" s="135" t="s">
        <v>11</v>
      </c>
      <c r="G14" s="135" t="s">
        <v>12</v>
      </c>
      <c r="H14" s="135" t="s">
        <v>13</v>
      </c>
      <c r="I14" s="135" t="s">
        <v>14</v>
      </c>
      <c r="J14" s="135" t="s">
        <v>15</v>
      </c>
      <c r="K14" s="135" t="s">
        <v>16</v>
      </c>
      <c r="L14" s="135" t="s">
        <v>17</v>
      </c>
      <c r="M14" s="135" t="s">
        <v>18</v>
      </c>
      <c r="N14" s="135" t="s">
        <v>19</v>
      </c>
      <c r="O14" s="6" t="s">
        <v>33</v>
      </c>
      <c r="V14" s="9"/>
      <c r="W14" s="10"/>
      <c r="X14" s="10"/>
    </row>
    <row r="15" spans="1:24" ht="16.5" customHeight="1" x14ac:dyDescent="0.25">
      <c r="A15" s="183" t="s">
        <v>39</v>
      </c>
      <c r="B15" s="184"/>
      <c r="C15" s="139">
        <f t="shared" ref="C15:N15" si="0">$O$15</f>
        <v>0</v>
      </c>
      <c r="D15" s="139">
        <f t="shared" si="0"/>
        <v>0</v>
      </c>
      <c r="E15" s="139">
        <f t="shared" si="0"/>
        <v>0</v>
      </c>
      <c r="F15" s="139">
        <f t="shared" si="0"/>
        <v>0</v>
      </c>
      <c r="G15" s="139">
        <f t="shared" si="0"/>
        <v>0</v>
      </c>
      <c r="H15" s="139">
        <f t="shared" si="0"/>
        <v>0</v>
      </c>
      <c r="I15" s="139">
        <f t="shared" si="0"/>
        <v>0</v>
      </c>
      <c r="J15" s="139">
        <f t="shared" si="0"/>
        <v>0</v>
      </c>
      <c r="K15" s="139">
        <f t="shared" si="0"/>
        <v>0</v>
      </c>
      <c r="L15" s="139">
        <f t="shared" si="0"/>
        <v>0</v>
      </c>
      <c r="M15" s="139">
        <f t="shared" si="0"/>
        <v>0</v>
      </c>
      <c r="N15" s="139">
        <f t="shared" si="0"/>
        <v>0</v>
      </c>
      <c r="O15" s="138">
        <f>'SET SP Nataga'!J7</f>
        <v>0</v>
      </c>
      <c r="V15" s="9"/>
      <c r="W15" s="10"/>
      <c r="X15" s="10"/>
    </row>
    <row r="16" spans="1:24" ht="17.25" customHeight="1" x14ac:dyDescent="0.25">
      <c r="A16" s="183" t="s">
        <v>272</v>
      </c>
      <c r="B16" s="184"/>
      <c r="C16" s="139">
        <f t="shared" ref="C16:N16" si="1">$O$16</f>
        <v>0</v>
      </c>
      <c r="D16" s="139">
        <f t="shared" si="1"/>
        <v>0</v>
      </c>
      <c r="E16" s="139">
        <f t="shared" si="1"/>
        <v>0</v>
      </c>
      <c r="F16" s="139">
        <f t="shared" si="1"/>
        <v>0</v>
      </c>
      <c r="G16" s="139">
        <f t="shared" si="1"/>
        <v>0</v>
      </c>
      <c r="H16" s="139">
        <f t="shared" si="1"/>
        <v>0</v>
      </c>
      <c r="I16" s="139">
        <f t="shared" si="1"/>
        <v>0</v>
      </c>
      <c r="J16" s="139">
        <f t="shared" si="1"/>
        <v>0</v>
      </c>
      <c r="K16" s="139">
        <f t="shared" si="1"/>
        <v>0</v>
      </c>
      <c r="L16" s="139">
        <f t="shared" si="1"/>
        <v>0</v>
      </c>
      <c r="M16" s="139">
        <f t="shared" si="1"/>
        <v>0</v>
      </c>
      <c r="N16" s="139">
        <f t="shared" si="1"/>
        <v>0</v>
      </c>
      <c r="O16" s="138">
        <f>'SET SP Nataga'!K7</f>
        <v>0</v>
      </c>
      <c r="V16" s="9"/>
      <c r="W16" s="10"/>
      <c r="X16" s="10"/>
    </row>
    <row r="17" spans="1:24" ht="17.25" customHeight="1" x14ac:dyDescent="0.25">
      <c r="A17" s="187" t="s">
        <v>263</v>
      </c>
      <c r="B17" s="188"/>
      <c r="C17" s="12">
        <f t="shared" ref="C17:E17" si="2">IF((C19),C18/C19,"-")</f>
        <v>0.88745227629405654</v>
      </c>
      <c r="D17" s="12">
        <f t="shared" si="2"/>
        <v>0.85898608160632051</v>
      </c>
      <c r="E17" s="12">
        <f t="shared" si="2"/>
        <v>0.84788594638707704</v>
      </c>
      <c r="F17" s="12">
        <f>IF((F19),F18/F19,"-")</f>
        <v>0.81446063046917383</v>
      </c>
      <c r="G17" s="12">
        <f t="shared" ref="G17:O17" si="3">IF((G19),G18/G19,"-")</f>
        <v>0.81744634287237827</v>
      </c>
      <c r="H17" s="12">
        <f t="shared" si="3"/>
        <v>0.81664942459825052</v>
      </c>
      <c r="I17" s="12">
        <f t="shared" si="3"/>
        <v>0.80705501691587567</v>
      </c>
      <c r="J17" s="12">
        <f t="shared" si="3"/>
        <v>0.79496897571117631</v>
      </c>
      <c r="K17" s="12">
        <f t="shared" si="3"/>
        <v>0.8567744785553395</v>
      </c>
      <c r="L17" s="12">
        <f t="shared" si="3"/>
        <v>0.7935015857826776</v>
      </c>
      <c r="M17" s="12">
        <f t="shared" si="3"/>
        <v>0.80446872087813004</v>
      </c>
      <c r="N17" s="12">
        <f t="shared" si="3"/>
        <v>0.80681658407531642</v>
      </c>
      <c r="O17" s="13">
        <f t="shared" si="3"/>
        <v>0.8260827144076297</v>
      </c>
      <c r="V17" s="9"/>
      <c r="W17" s="10"/>
      <c r="X17" s="10"/>
    </row>
    <row r="18" spans="1:24" ht="18.75" customHeight="1" x14ac:dyDescent="0.25">
      <c r="A18" s="189" t="s">
        <v>37</v>
      </c>
      <c r="B18" s="39" t="s">
        <v>132</v>
      </c>
      <c r="C18" s="62">
        <f>+'NATAGA-18'!D$27+'NATAGA-18'!D$29+'NATAGA-18'!D$31</f>
        <v>18629100</v>
      </c>
      <c r="D18" s="62">
        <f>+'NATAGA-18'!E$27+'NATAGA-18'!E$29+'NATAGA-18'!E$31</f>
        <v>13732650</v>
      </c>
      <c r="E18" s="62">
        <f>+'NATAGA-18'!F$27+'NATAGA-18'!F$29+'NATAGA-18'!F$31</f>
        <v>13610350</v>
      </c>
      <c r="F18" s="62">
        <f>+'NATAGA-18'!G$27+'NATAGA-18'!G$29+'NATAGA-18'!G$31</f>
        <v>14338050</v>
      </c>
      <c r="G18" s="62">
        <f>+'NATAGA-18'!H$27+'NATAGA-18'!H$29+'NATAGA-18'!H$31</f>
        <v>14716650</v>
      </c>
      <c r="H18" s="62">
        <f>+'NATAGA-18'!I$27+'NATAGA-18'!I$29+'NATAGA-18'!I$31</f>
        <v>14643300</v>
      </c>
      <c r="I18" s="62">
        <f>+'NATAGA-18'!J$27+'NATAGA-18'!J$29+'NATAGA-18'!J$31</f>
        <v>15287450</v>
      </c>
      <c r="J18" s="62">
        <f>+'NATAGA-18'!K$27+'NATAGA-18'!K$29+'NATAGA-18'!K$31</f>
        <v>14682600</v>
      </c>
      <c r="K18" s="62">
        <f>+'NATAGA-18'!L$27+'NATAGA-18'!L$29+'NATAGA-18'!L$31</f>
        <v>16679300</v>
      </c>
      <c r="L18" s="62">
        <f>+'NATAGA-18'!M$27+'NATAGA-18'!M$29+'NATAGA-18'!M$31</f>
        <v>13848150</v>
      </c>
      <c r="M18" s="62">
        <f>+'NATAGA-18'!N$27+'NATAGA-18'!N$29+'NATAGA-18'!N$31</f>
        <v>14632200</v>
      </c>
      <c r="N18" s="62">
        <f>+'NATAGA-18'!O$27+'NATAGA-18'!O$29+'NATAGA-18'!O$31</f>
        <v>14058900</v>
      </c>
      <c r="O18" s="24">
        <f>SUM(C18:N18)</f>
        <v>178858700</v>
      </c>
      <c r="V18" s="9"/>
      <c r="W18" s="10"/>
      <c r="X18" s="10"/>
    </row>
    <row r="19" spans="1:24" ht="15.75" customHeight="1" x14ac:dyDescent="0.25">
      <c r="A19" s="189"/>
      <c r="B19" s="39" t="s">
        <v>131</v>
      </c>
      <c r="C19" s="62">
        <f>+'NATAGA-18'!D$26+'NATAGA-18'!D$28+'NATAGA-18'!D$30</f>
        <v>20991664</v>
      </c>
      <c r="D19" s="62">
        <f>+'NATAGA-18'!E$26+'NATAGA-18'!E$28+'NATAGA-18'!E$30</f>
        <v>15987046</v>
      </c>
      <c r="E19" s="62">
        <f>+'NATAGA-18'!F$26+'NATAGA-18'!F$28+'NATAGA-18'!F$30</f>
        <v>16052100</v>
      </c>
      <c r="F19" s="62">
        <f>+'NATAGA-18'!G$26+'NATAGA-18'!G$28+'NATAGA-18'!G$30</f>
        <v>17604350</v>
      </c>
      <c r="G19" s="62">
        <f>+'NATAGA-18'!H$26+'NATAGA-18'!H$28+'NATAGA-18'!H$30</f>
        <v>18003200</v>
      </c>
      <c r="H19" s="62">
        <f>+'NATAGA-18'!I$26+'NATAGA-18'!I$28+'NATAGA-18'!I$30</f>
        <v>17930950</v>
      </c>
      <c r="I19" s="62">
        <f>+'NATAGA-18'!J$26+'NATAGA-18'!J$28+'NATAGA-18'!J$30</f>
        <v>18942265</v>
      </c>
      <c r="J19" s="62">
        <f>+'NATAGA-18'!K$26+'NATAGA-18'!K$28+'NATAGA-18'!K$30</f>
        <v>18469400</v>
      </c>
      <c r="K19" s="62">
        <f>+'NATAGA-18'!L$26+'NATAGA-18'!L$28+'NATAGA-18'!L$30</f>
        <v>19467550</v>
      </c>
      <c r="L19" s="62">
        <f>+'NATAGA-18'!M$26+'NATAGA-18'!M$28+'NATAGA-18'!M$30</f>
        <v>17451950</v>
      </c>
      <c r="M19" s="62">
        <f>+'NATAGA-18'!N$26+'NATAGA-18'!N$28+'NATAGA-18'!N$30</f>
        <v>18188650</v>
      </c>
      <c r="N19" s="62">
        <f>+'NATAGA-18'!O$26+'NATAGA-18'!O$28+'NATAGA-18'!O$30</f>
        <v>17425150</v>
      </c>
      <c r="O19" s="24">
        <f>SUM(C19:N19)</f>
        <v>216514275</v>
      </c>
      <c r="V19" s="9"/>
      <c r="W19" s="10"/>
      <c r="X19" s="10"/>
    </row>
    <row r="20" spans="1:24" ht="17.25" customHeight="1" x14ac:dyDescent="0.25">
      <c r="A20" s="189"/>
      <c r="B20" s="134"/>
      <c r="C20" s="23"/>
      <c r="D20" s="23"/>
      <c r="E20" s="23"/>
      <c r="F20" s="23"/>
      <c r="G20" s="23"/>
      <c r="H20" s="23"/>
      <c r="I20" s="23"/>
      <c r="J20" s="23"/>
      <c r="K20" s="4"/>
      <c r="L20" s="4"/>
      <c r="M20" s="4"/>
      <c r="N20" s="4"/>
      <c r="O20" s="24"/>
      <c r="V20" s="9"/>
      <c r="W20" s="10"/>
      <c r="X20" s="10"/>
    </row>
    <row r="21" spans="1:24" ht="18" customHeight="1" thickBot="1" x14ac:dyDescent="0.3">
      <c r="A21" s="190"/>
      <c r="B21" s="136" t="s">
        <v>3</v>
      </c>
      <c r="C21" s="140"/>
      <c r="D21" s="140"/>
      <c r="E21" s="140"/>
      <c r="F21" s="140"/>
      <c r="G21" s="140"/>
      <c r="H21" s="140"/>
      <c r="I21" s="140"/>
      <c r="J21" s="140"/>
      <c r="K21" s="5"/>
      <c r="L21" s="5"/>
      <c r="M21" s="5"/>
      <c r="N21" s="5"/>
      <c r="O21" s="141"/>
      <c r="V21" s="9"/>
      <c r="W21" s="10"/>
      <c r="X21" s="10"/>
    </row>
    <row r="22" spans="1:24" ht="14.25" customHeight="1" thickBot="1" x14ac:dyDescent="0.3">
      <c r="A22" s="191" t="s">
        <v>34</v>
      </c>
      <c r="B22" s="192"/>
      <c r="C22" s="193"/>
      <c r="D22" s="270" t="str">
        <f>'SET SP Nataga'!$G7</f>
        <v>Entre 71% y 100%</v>
      </c>
      <c r="E22" s="271"/>
      <c r="F22" s="271"/>
      <c r="G22" s="272"/>
      <c r="H22" s="270" t="str">
        <f>'SET SP Nataga'!$H7</f>
        <v>Entre 60% y 70%</v>
      </c>
      <c r="I22" s="271"/>
      <c r="J22" s="271"/>
      <c r="K22" s="272"/>
      <c r="L22" s="278" t="str">
        <f>'SET SP Nataga'!$I7</f>
        <v>Menor al 59%</v>
      </c>
      <c r="M22" s="279"/>
      <c r="N22" s="279"/>
      <c r="O22" s="280"/>
      <c r="V22" s="9"/>
      <c r="W22" s="10"/>
      <c r="X22" s="10"/>
    </row>
    <row r="23" spans="1:24" ht="33" customHeight="1" thickBot="1" x14ac:dyDescent="0.3">
      <c r="A23" s="194"/>
      <c r="B23" s="195"/>
      <c r="C23" s="195"/>
      <c r="D23" s="196" t="s">
        <v>7</v>
      </c>
      <c r="E23" s="196"/>
      <c r="F23" s="196"/>
      <c r="G23" s="196"/>
      <c r="H23" s="197" t="s">
        <v>61</v>
      </c>
      <c r="I23" s="197"/>
      <c r="J23" s="197"/>
      <c r="K23" s="197"/>
      <c r="L23" s="211" t="s">
        <v>62</v>
      </c>
      <c r="M23" s="211"/>
      <c r="N23" s="211"/>
      <c r="O23" s="212"/>
      <c r="V23" s="9"/>
      <c r="W23" s="10"/>
      <c r="X23" s="10"/>
    </row>
    <row r="24" spans="1:24" ht="15.75" customHeight="1" thickBot="1" x14ac:dyDescent="0.3">
      <c r="A24" s="213" t="s">
        <v>36</v>
      </c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5"/>
      <c r="V24" s="9"/>
      <c r="W24" s="10"/>
      <c r="X24" s="10"/>
    </row>
    <row r="25" spans="1:24" ht="264.75" customHeight="1" thickBot="1" x14ac:dyDescent="0.3">
      <c r="A25" s="267"/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9"/>
      <c r="V25" s="9"/>
    </row>
    <row r="26" spans="1:24" ht="15" customHeight="1" x14ac:dyDescent="0.25">
      <c r="A26" s="198" t="s">
        <v>58</v>
      </c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200" t="s">
        <v>60</v>
      </c>
      <c r="O26" s="201"/>
    </row>
    <row r="27" spans="1:24" ht="15" x14ac:dyDescent="0.25">
      <c r="A27" s="202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41">
        <v>43101</v>
      </c>
      <c r="O27" s="242"/>
    </row>
    <row r="28" spans="1:24" ht="15" x14ac:dyDescent="0.25">
      <c r="A28" s="202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41">
        <v>43132</v>
      </c>
      <c r="O28" s="242"/>
    </row>
    <row r="29" spans="1:24" ht="15" x14ac:dyDescent="0.25">
      <c r="A29" s="202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41">
        <v>43160</v>
      </c>
      <c r="O29" s="242"/>
    </row>
    <row r="30" spans="1:24" ht="15" x14ac:dyDescent="0.25">
      <c r="A30" s="202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41">
        <v>43191</v>
      </c>
      <c r="O30" s="242"/>
    </row>
    <row r="31" spans="1:24" ht="15" x14ac:dyDescent="0.25">
      <c r="A31" s="202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41">
        <v>43221</v>
      </c>
      <c r="O31" s="242"/>
    </row>
    <row r="32" spans="1:24" ht="15" x14ac:dyDescent="0.25">
      <c r="A32" s="202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41">
        <v>43252</v>
      </c>
      <c r="O32" s="242"/>
    </row>
    <row r="33" spans="1:17" ht="15" x14ac:dyDescent="0.25">
      <c r="A33" s="202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41">
        <v>43282</v>
      </c>
      <c r="O33" s="242"/>
    </row>
    <row r="34" spans="1:17" ht="15" x14ac:dyDescent="0.25">
      <c r="A34" s="202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41">
        <v>43313</v>
      </c>
      <c r="O34" s="242"/>
    </row>
    <row r="35" spans="1:17" ht="15" x14ac:dyDescent="0.25">
      <c r="A35" s="202"/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41">
        <v>43344</v>
      </c>
      <c r="O35" s="242"/>
    </row>
    <row r="36" spans="1:17" ht="15" x14ac:dyDescent="0.25">
      <c r="A36" s="202"/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41">
        <v>43374</v>
      </c>
      <c r="O36" s="242"/>
    </row>
    <row r="37" spans="1:17" ht="15" x14ac:dyDescent="0.25">
      <c r="A37" s="202"/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41">
        <v>43405</v>
      </c>
      <c r="O37" s="242"/>
    </row>
    <row r="38" spans="1:17" ht="15.75" thickBot="1" x14ac:dyDescent="0.3">
      <c r="A38" s="202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41">
        <v>43435</v>
      </c>
      <c r="O38" s="242"/>
    </row>
    <row r="39" spans="1:17" ht="15" customHeight="1" x14ac:dyDescent="0.25">
      <c r="A39" s="198" t="s">
        <v>59</v>
      </c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200" t="s">
        <v>60</v>
      </c>
      <c r="O39" s="201"/>
    </row>
    <row r="40" spans="1:17" ht="24" customHeight="1" x14ac:dyDescent="0.25">
      <c r="A40" s="202"/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4"/>
      <c r="O40" s="205"/>
    </row>
    <row r="41" spans="1:17" ht="22.5" customHeight="1" thickBot="1" x14ac:dyDescent="0.3">
      <c r="A41" s="273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5"/>
    </row>
    <row r="42" spans="1:17" ht="6.75" customHeight="1" x14ac:dyDescent="0.25">
      <c r="A42" s="176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</row>
    <row r="44" spans="1:17" ht="14.25" x14ac:dyDescent="0.2">
      <c r="Q44" s="48" t="s">
        <v>81</v>
      </c>
    </row>
    <row r="45" spans="1:17" ht="14.25" x14ac:dyDescent="0.2">
      <c r="Q45" s="48" t="s">
        <v>82</v>
      </c>
    </row>
    <row r="46" spans="1:17" ht="14.25" x14ac:dyDescent="0.2">
      <c r="Q46" s="48" t="s">
        <v>83</v>
      </c>
    </row>
    <row r="47" spans="1:17" ht="14.25" x14ac:dyDescent="0.2">
      <c r="Q47" s="48" t="s">
        <v>84</v>
      </c>
    </row>
    <row r="48" spans="1:17" ht="14.25" x14ac:dyDescent="0.2">
      <c r="Q48" s="48" t="s">
        <v>85</v>
      </c>
    </row>
    <row r="49" spans="17:17" ht="14.25" x14ac:dyDescent="0.2">
      <c r="Q49" s="48" t="s">
        <v>86</v>
      </c>
    </row>
    <row r="50" spans="17:17" ht="14.25" x14ac:dyDescent="0.2">
      <c r="Q50" s="48" t="s">
        <v>87</v>
      </c>
    </row>
    <row r="51" spans="17:17" ht="14.25" x14ac:dyDescent="0.2">
      <c r="Q51" s="48" t="s">
        <v>88</v>
      </c>
    </row>
    <row r="52" spans="17:17" ht="14.25" x14ac:dyDescent="0.2">
      <c r="Q52" s="48" t="s">
        <v>89</v>
      </c>
    </row>
    <row r="53" spans="17:17" ht="14.25" x14ac:dyDescent="0.2">
      <c r="Q53" s="48" t="s">
        <v>90</v>
      </c>
    </row>
    <row r="54" spans="17:17" ht="14.25" x14ac:dyDescent="0.2">
      <c r="Q54" s="48" t="s">
        <v>91</v>
      </c>
    </row>
    <row r="55" spans="17:17" ht="14.25" x14ac:dyDescent="0.2">
      <c r="Q55" s="48" t="s">
        <v>92</v>
      </c>
    </row>
    <row r="56" spans="17:17" ht="14.25" x14ac:dyDescent="0.2">
      <c r="Q56" s="48" t="s">
        <v>93</v>
      </c>
    </row>
    <row r="58" spans="17:17" x14ac:dyDescent="0.25">
      <c r="Q58" s="43">
        <v>0.73</v>
      </c>
    </row>
    <row r="59" spans="17:17" x14ac:dyDescent="0.25">
      <c r="Q59" s="43">
        <v>0.75</v>
      </c>
    </row>
  </sheetData>
  <sheetProtection algorithmName="SHA-512" hashValue="tihYLK2jtzjwLRRQdHIgB6g7ygK7jBbUzk2p657VTycD0wxZKAGZ9U90M3Bj2zNrpa/f9mGlpf9HJwNpgsbOJg==" saltValue="jCHn9CALFEMMeqG0pJUmnw==" spinCount="100000" sheet="1" objects="1" scenarios="1"/>
  <mergeCells count="74">
    <mergeCell ref="N29:O29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A34:M34"/>
    <mergeCell ref="A35:M35"/>
    <mergeCell ref="A36:M36"/>
    <mergeCell ref="A37:M37"/>
    <mergeCell ref="A38:M38"/>
    <mergeCell ref="A29:M29"/>
    <mergeCell ref="A30:M30"/>
    <mergeCell ref="A31:M31"/>
    <mergeCell ref="A32:M32"/>
    <mergeCell ref="A33:M33"/>
    <mergeCell ref="A28:M28"/>
    <mergeCell ref="N28:O28"/>
    <mergeCell ref="D1:O1"/>
    <mergeCell ref="D2:O2"/>
    <mergeCell ref="A3:E3"/>
    <mergeCell ref="F3:O3"/>
    <mergeCell ref="A4:E4"/>
    <mergeCell ref="F4:O4"/>
    <mergeCell ref="A1:C2"/>
    <mergeCell ref="N8:O8"/>
    <mergeCell ref="A9:D9"/>
    <mergeCell ref="F9:G9"/>
    <mergeCell ref="L22:O22"/>
    <mergeCell ref="D23:G23"/>
    <mergeCell ref="H23:K23"/>
    <mergeCell ref="A11:O11"/>
    <mergeCell ref="A14:B14"/>
    <mergeCell ref="I7:I8"/>
    <mergeCell ref="J7:K8"/>
    <mergeCell ref="L7:O7"/>
    <mergeCell ref="L8:M8"/>
    <mergeCell ref="H7:H8"/>
    <mergeCell ref="L23:O23"/>
    <mergeCell ref="A5:E5"/>
    <mergeCell ref="A16:B16"/>
    <mergeCell ref="A17:B17"/>
    <mergeCell ref="A18:A21"/>
    <mergeCell ref="A15:B15"/>
    <mergeCell ref="A10:O10"/>
    <mergeCell ref="J9:O9"/>
    <mergeCell ref="F5:O5"/>
    <mergeCell ref="A6:E6"/>
    <mergeCell ref="G6:O6"/>
    <mergeCell ref="A7:D8"/>
    <mergeCell ref="E7:E8"/>
    <mergeCell ref="F7:G8"/>
    <mergeCell ref="A12:O12"/>
    <mergeCell ref="A13:O13"/>
    <mergeCell ref="A42:O42"/>
    <mergeCell ref="A25:O25"/>
    <mergeCell ref="H22:K22"/>
    <mergeCell ref="A22:C23"/>
    <mergeCell ref="D22:G22"/>
    <mergeCell ref="A24:O24"/>
    <mergeCell ref="A41:M41"/>
    <mergeCell ref="N41:O41"/>
    <mergeCell ref="A26:M26"/>
    <mergeCell ref="N26:O26"/>
    <mergeCell ref="N39:O39"/>
    <mergeCell ref="A39:M39"/>
    <mergeCell ref="N40:O40"/>
    <mergeCell ref="A40:M40"/>
    <mergeCell ref="A27:M27"/>
    <mergeCell ref="N27:O27"/>
  </mergeCells>
  <dataValidations disablePrompts="1" count="1">
    <dataValidation type="list" allowBlank="1" showInputMessage="1" showErrorMessage="1" sqref="J9:O9">
      <formula1>$Q$44:$Q$56</formula1>
    </dataValidation>
  </dataValidations>
  <pageMargins left="0.39370078740157483" right="0.39370078740157483" top="0.35433070866141736" bottom="0.35433070866141736" header="0" footer="0"/>
  <pageSetup scale="73" orientation="portrait" horizontalDpi="4294967294" verticalDpi="4294967294" r:id="rId1"/>
  <headerFooter alignWithMargins="0">
    <oddFooter>&amp;R&amp;8Diseñado por: Wilson Andrade González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60"/>
  <sheetViews>
    <sheetView windowProtection="1" topLeftCell="A28" zoomScaleSheetLayoutView="72" workbookViewId="0">
      <selection activeCell="N28" sqref="N28:O39"/>
    </sheetView>
  </sheetViews>
  <sheetFormatPr baseColWidth="10" defaultRowHeight="12.75" x14ac:dyDescent="0.25"/>
  <cols>
    <col min="1" max="1" width="3.85546875" style="3" customWidth="1"/>
    <col min="2" max="2" width="26.85546875" style="3" customWidth="1"/>
    <col min="3" max="3" width="9" style="3" bestFit="1" customWidth="1"/>
    <col min="4" max="4" width="10.140625" style="3" customWidth="1"/>
    <col min="5" max="5" width="10.7109375" style="3" customWidth="1"/>
    <col min="6" max="6" width="8.85546875" style="3" customWidth="1"/>
    <col min="7" max="8" width="9" style="3" bestFit="1" customWidth="1"/>
    <col min="9" max="9" width="9.5703125" style="3" customWidth="1"/>
    <col min="10" max="10" width="9" style="3" bestFit="1" customWidth="1"/>
    <col min="11" max="11" width="7.7109375" style="3" customWidth="1"/>
    <col min="12" max="12" width="8.28515625" style="3" customWidth="1"/>
    <col min="13" max="14" width="7.7109375" style="3" customWidth="1"/>
    <col min="15" max="15" width="10" style="3" bestFit="1" customWidth="1"/>
    <col min="16" max="16" width="7.28515625" style="3" customWidth="1"/>
    <col min="17" max="18" width="7.28515625" style="3" hidden="1" customWidth="1"/>
    <col min="19" max="19" width="7.28515625" style="3" customWidth="1"/>
    <col min="20" max="20" width="11.42578125" style="3" customWidth="1"/>
    <col min="21" max="21" width="9" style="3" customWidth="1"/>
    <col min="22" max="22" width="5.7109375" style="3" customWidth="1"/>
    <col min="23" max="23" width="10.42578125" style="3" customWidth="1"/>
    <col min="24" max="24" width="10" style="3" customWidth="1"/>
    <col min="25" max="257" width="11.42578125" style="3"/>
    <col min="258" max="258" width="26.85546875" style="3" customWidth="1"/>
    <col min="259" max="267" width="7.7109375" style="3" customWidth="1"/>
    <col min="268" max="268" width="8.28515625" style="3" customWidth="1"/>
    <col min="269" max="271" width="7.7109375" style="3" customWidth="1"/>
    <col min="272" max="513" width="11.42578125" style="3"/>
    <col min="514" max="514" width="26.85546875" style="3" customWidth="1"/>
    <col min="515" max="523" width="7.7109375" style="3" customWidth="1"/>
    <col min="524" max="524" width="8.28515625" style="3" customWidth="1"/>
    <col min="525" max="527" width="7.7109375" style="3" customWidth="1"/>
    <col min="528" max="769" width="11.42578125" style="3"/>
    <col min="770" max="770" width="26.85546875" style="3" customWidth="1"/>
    <col min="771" max="779" width="7.7109375" style="3" customWidth="1"/>
    <col min="780" max="780" width="8.28515625" style="3" customWidth="1"/>
    <col min="781" max="783" width="7.7109375" style="3" customWidth="1"/>
    <col min="784" max="1025" width="11.42578125" style="3"/>
    <col min="1026" max="1026" width="26.85546875" style="3" customWidth="1"/>
    <col min="1027" max="1035" width="7.7109375" style="3" customWidth="1"/>
    <col min="1036" max="1036" width="8.28515625" style="3" customWidth="1"/>
    <col min="1037" max="1039" width="7.7109375" style="3" customWidth="1"/>
    <col min="1040" max="1281" width="11.42578125" style="3"/>
    <col min="1282" max="1282" width="26.85546875" style="3" customWidth="1"/>
    <col min="1283" max="1291" width="7.7109375" style="3" customWidth="1"/>
    <col min="1292" max="1292" width="8.28515625" style="3" customWidth="1"/>
    <col min="1293" max="1295" width="7.7109375" style="3" customWidth="1"/>
    <col min="1296" max="1537" width="11.42578125" style="3"/>
    <col min="1538" max="1538" width="26.85546875" style="3" customWidth="1"/>
    <col min="1539" max="1547" width="7.7109375" style="3" customWidth="1"/>
    <col min="1548" max="1548" width="8.28515625" style="3" customWidth="1"/>
    <col min="1549" max="1551" width="7.7109375" style="3" customWidth="1"/>
    <col min="1552" max="1793" width="11.42578125" style="3"/>
    <col min="1794" max="1794" width="26.85546875" style="3" customWidth="1"/>
    <col min="1795" max="1803" width="7.7109375" style="3" customWidth="1"/>
    <col min="1804" max="1804" width="8.28515625" style="3" customWidth="1"/>
    <col min="1805" max="1807" width="7.7109375" style="3" customWidth="1"/>
    <col min="1808" max="2049" width="11.42578125" style="3"/>
    <col min="2050" max="2050" width="26.85546875" style="3" customWidth="1"/>
    <col min="2051" max="2059" width="7.7109375" style="3" customWidth="1"/>
    <col min="2060" max="2060" width="8.28515625" style="3" customWidth="1"/>
    <col min="2061" max="2063" width="7.7109375" style="3" customWidth="1"/>
    <col min="2064" max="2305" width="11.42578125" style="3"/>
    <col min="2306" max="2306" width="26.85546875" style="3" customWidth="1"/>
    <col min="2307" max="2315" width="7.7109375" style="3" customWidth="1"/>
    <col min="2316" max="2316" width="8.28515625" style="3" customWidth="1"/>
    <col min="2317" max="2319" width="7.7109375" style="3" customWidth="1"/>
    <col min="2320" max="2561" width="11.42578125" style="3"/>
    <col min="2562" max="2562" width="26.85546875" style="3" customWidth="1"/>
    <col min="2563" max="2571" width="7.7109375" style="3" customWidth="1"/>
    <col min="2572" max="2572" width="8.28515625" style="3" customWidth="1"/>
    <col min="2573" max="2575" width="7.7109375" style="3" customWidth="1"/>
    <col min="2576" max="2817" width="11.42578125" style="3"/>
    <col min="2818" max="2818" width="26.85546875" style="3" customWidth="1"/>
    <col min="2819" max="2827" width="7.7109375" style="3" customWidth="1"/>
    <col min="2828" max="2828" width="8.28515625" style="3" customWidth="1"/>
    <col min="2829" max="2831" width="7.7109375" style="3" customWidth="1"/>
    <col min="2832" max="3073" width="11.42578125" style="3"/>
    <col min="3074" max="3074" width="26.85546875" style="3" customWidth="1"/>
    <col min="3075" max="3083" width="7.7109375" style="3" customWidth="1"/>
    <col min="3084" max="3084" width="8.28515625" style="3" customWidth="1"/>
    <col min="3085" max="3087" width="7.7109375" style="3" customWidth="1"/>
    <col min="3088" max="3329" width="11.42578125" style="3"/>
    <col min="3330" max="3330" width="26.85546875" style="3" customWidth="1"/>
    <col min="3331" max="3339" width="7.7109375" style="3" customWidth="1"/>
    <col min="3340" max="3340" width="8.28515625" style="3" customWidth="1"/>
    <col min="3341" max="3343" width="7.7109375" style="3" customWidth="1"/>
    <col min="3344" max="3585" width="11.42578125" style="3"/>
    <col min="3586" max="3586" width="26.85546875" style="3" customWidth="1"/>
    <col min="3587" max="3595" width="7.7109375" style="3" customWidth="1"/>
    <col min="3596" max="3596" width="8.28515625" style="3" customWidth="1"/>
    <col min="3597" max="3599" width="7.7109375" style="3" customWidth="1"/>
    <col min="3600" max="3841" width="11.42578125" style="3"/>
    <col min="3842" max="3842" width="26.85546875" style="3" customWidth="1"/>
    <col min="3843" max="3851" width="7.7109375" style="3" customWidth="1"/>
    <col min="3852" max="3852" width="8.28515625" style="3" customWidth="1"/>
    <col min="3853" max="3855" width="7.7109375" style="3" customWidth="1"/>
    <col min="3856" max="4097" width="11.42578125" style="3"/>
    <col min="4098" max="4098" width="26.85546875" style="3" customWidth="1"/>
    <col min="4099" max="4107" width="7.7109375" style="3" customWidth="1"/>
    <col min="4108" max="4108" width="8.28515625" style="3" customWidth="1"/>
    <col min="4109" max="4111" width="7.7109375" style="3" customWidth="1"/>
    <col min="4112" max="4353" width="11.42578125" style="3"/>
    <col min="4354" max="4354" width="26.85546875" style="3" customWidth="1"/>
    <col min="4355" max="4363" width="7.7109375" style="3" customWidth="1"/>
    <col min="4364" max="4364" width="8.28515625" style="3" customWidth="1"/>
    <col min="4365" max="4367" width="7.7109375" style="3" customWidth="1"/>
    <col min="4368" max="4609" width="11.42578125" style="3"/>
    <col min="4610" max="4610" width="26.85546875" style="3" customWidth="1"/>
    <col min="4611" max="4619" width="7.7109375" style="3" customWidth="1"/>
    <col min="4620" max="4620" width="8.28515625" style="3" customWidth="1"/>
    <col min="4621" max="4623" width="7.7109375" style="3" customWidth="1"/>
    <col min="4624" max="4865" width="11.42578125" style="3"/>
    <col min="4866" max="4866" width="26.85546875" style="3" customWidth="1"/>
    <col min="4867" max="4875" width="7.7109375" style="3" customWidth="1"/>
    <col min="4876" max="4876" width="8.28515625" style="3" customWidth="1"/>
    <col min="4877" max="4879" width="7.7109375" style="3" customWidth="1"/>
    <col min="4880" max="5121" width="11.42578125" style="3"/>
    <col min="5122" max="5122" width="26.85546875" style="3" customWidth="1"/>
    <col min="5123" max="5131" width="7.7109375" style="3" customWidth="1"/>
    <col min="5132" max="5132" width="8.28515625" style="3" customWidth="1"/>
    <col min="5133" max="5135" width="7.7109375" style="3" customWidth="1"/>
    <col min="5136" max="5377" width="11.42578125" style="3"/>
    <col min="5378" max="5378" width="26.85546875" style="3" customWidth="1"/>
    <col min="5379" max="5387" width="7.7109375" style="3" customWidth="1"/>
    <col min="5388" max="5388" width="8.28515625" style="3" customWidth="1"/>
    <col min="5389" max="5391" width="7.7109375" style="3" customWidth="1"/>
    <col min="5392" max="5633" width="11.42578125" style="3"/>
    <col min="5634" max="5634" width="26.85546875" style="3" customWidth="1"/>
    <col min="5635" max="5643" width="7.7109375" style="3" customWidth="1"/>
    <col min="5644" max="5644" width="8.28515625" style="3" customWidth="1"/>
    <col min="5645" max="5647" width="7.7109375" style="3" customWidth="1"/>
    <col min="5648" max="5889" width="11.42578125" style="3"/>
    <col min="5890" max="5890" width="26.85546875" style="3" customWidth="1"/>
    <col min="5891" max="5899" width="7.7109375" style="3" customWidth="1"/>
    <col min="5900" max="5900" width="8.28515625" style="3" customWidth="1"/>
    <col min="5901" max="5903" width="7.7109375" style="3" customWidth="1"/>
    <col min="5904" max="6145" width="11.42578125" style="3"/>
    <col min="6146" max="6146" width="26.85546875" style="3" customWidth="1"/>
    <col min="6147" max="6155" width="7.7109375" style="3" customWidth="1"/>
    <col min="6156" max="6156" width="8.28515625" style="3" customWidth="1"/>
    <col min="6157" max="6159" width="7.7109375" style="3" customWidth="1"/>
    <col min="6160" max="6401" width="11.42578125" style="3"/>
    <col min="6402" max="6402" width="26.85546875" style="3" customWidth="1"/>
    <col min="6403" max="6411" width="7.7109375" style="3" customWidth="1"/>
    <col min="6412" max="6412" width="8.28515625" style="3" customWidth="1"/>
    <col min="6413" max="6415" width="7.7109375" style="3" customWidth="1"/>
    <col min="6416" max="6657" width="11.42578125" style="3"/>
    <col min="6658" max="6658" width="26.85546875" style="3" customWidth="1"/>
    <col min="6659" max="6667" width="7.7109375" style="3" customWidth="1"/>
    <col min="6668" max="6668" width="8.28515625" style="3" customWidth="1"/>
    <col min="6669" max="6671" width="7.7109375" style="3" customWidth="1"/>
    <col min="6672" max="6913" width="11.42578125" style="3"/>
    <col min="6914" max="6914" width="26.85546875" style="3" customWidth="1"/>
    <col min="6915" max="6923" width="7.7109375" style="3" customWidth="1"/>
    <col min="6924" max="6924" width="8.28515625" style="3" customWidth="1"/>
    <col min="6925" max="6927" width="7.7109375" style="3" customWidth="1"/>
    <col min="6928" max="7169" width="11.42578125" style="3"/>
    <col min="7170" max="7170" width="26.85546875" style="3" customWidth="1"/>
    <col min="7171" max="7179" width="7.7109375" style="3" customWidth="1"/>
    <col min="7180" max="7180" width="8.28515625" style="3" customWidth="1"/>
    <col min="7181" max="7183" width="7.7109375" style="3" customWidth="1"/>
    <col min="7184" max="7425" width="11.42578125" style="3"/>
    <col min="7426" max="7426" width="26.85546875" style="3" customWidth="1"/>
    <col min="7427" max="7435" width="7.7109375" style="3" customWidth="1"/>
    <col min="7436" max="7436" width="8.28515625" style="3" customWidth="1"/>
    <col min="7437" max="7439" width="7.7109375" style="3" customWidth="1"/>
    <col min="7440" max="7681" width="11.42578125" style="3"/>
    <col min="7682" max="7682" width="26.85546875" style="3" customWidth="1"/>
    <col min="7683" max="7691" width="7.7109375" style="3" customWidth="1"/>
    <col min="7692" max="7692" width="8.28515625" style="3" customWidth="1"/>
    <col min="7693" max="7695" width="7.7109375" style="3" customWidth="1"/>
    <col min="7696" max="7937" width="11.42578125" style="3"/>
    <col min="7938" max="7938" width="26.85546875" style="3" customWidth="1"/>
    <col min="7939" max="7947" width="7.7109375" style="3" customWidth="1"/>
    <col min="7948" max="7948" width="8.28515625" style="3" customWidth="1"/>
    <col min="7949" max="7951" width="7.7109375" style="3" customWidth="1"/>
    <col min="7952" max="8193" width="11.42578125" style="3"/>
    <col min="8194" max="8194" width="26.85546875" style="3" customWidth="1"/>
    <col min="8195" max="8203" width="7.7109375" style="3" customWidth="1"/>
    <col min="8204" max="8204" width="8.28515625" style="3" customWidth="1"/>
    <col min="8205" max="8207" width="7.7109375" style="3" customWidth="1"/>
    <col min="8208" max="8449" width="11.42578125" style="3"/>
    <col min="8450" max="8450" width="26.85546875" style="3" customWidth="1"/>
    <col min="8451" max="8459" width="7.7109375" style="3" customWidth="1"/>
    <col min="8460" max="8460" width="8.28515625" style="3" customWidth="1"/>
    <col min="8461" max="8463" width="7.7109375" style="3" customWidth="1"/>
    <col min="8464" max="8705" width="11.42578125" style="3"/>
    <col min="8706" max="8706" width="26.85546875" style="3" customWidth="1"/>
    <col min="8707" max="8715" width="7.7109375" style="3" customWidth="1"/>
    <col min="8716" max="8716" width="8.28515625" style="3" customWidth="1"/>
    <col min="8717" max="8719" width="7.7109375" style="3" customWidth="1"/>
    <col min="8720" max="8961" width="11.42578125" style="3"/>
    <col min="8962" max="8962" width="26.85546875" style="3" customWidth="1"/>
    <col min="8963" max="8971" width="7.7109375" style="3" customWidth="1"/>
    <col min="8972" max="8972" width="8.28515625" style="3" customWidth="1"/>
    <col min="8973" max="8975" width="7.7109375" style="3" customWidth="1"/>
    <col min="8976" max="9217" width="11.42578125" style="3"/>
    <col min="9218" max="9218" width="26.85546875" style="3" customWidth="1"/>
    <col min="9219" max="9227" width="7.7109375" style="3" customWidth="1"/>
    <col min="9228" max="9228" width="8.28515625" style="3" customWidth="1"/>
    <col min="9229" max="9231" width="7.7109375" style="3" customWidth="1"/>
    <col min="9232" max="9473" width="11.42578125" style="3"/>
    <col min="9474" max="9474" width="26.85546875" style="3" customWidth="1"/>
    <col min="9475" max="9483" width="7.7109375" style="3" customWidth="1"/>
    <col min="9484" max="9484" width="8.28515625" style="3" customWidth="1"/>
    <col min="9485" max="9487" width="7.7109375" style="3" customWidth="1"/>
    <col min="9488" max="9729" width="11.42578125" style="3"/>
    <col min="9730" max="9730" width="26.85546875" style="3" customWidth="1"/>
    <col min="9731" max="9739" width="7.7109375" style="3" customWidth="1"/>
    <col min="9740" max="9740" width="8.28515625" style="3" customWidth="1"/>
    <col min="9741" max="9743" width="7.7109375" style="3" customWidth="1"/>
    <col min="9744" max="9985" width="11.42578125" style="3"/>
    <col min="9986" max="9986" width="26.85546875" style="3" customWidth="1"/>
    <col min="9987" max="9995" width="7.7109375" style="3" customWidth="1"/>
    <col min="9996" max="9996" width="8.28515625" style="3" customWidth="1"/>
    <col min="9997" max="9999" width="7.7109375" style="3" customWidth="1"/>
    <col min="10000" max="10241" width="11.42578125" style="3"/>
    <col min="10242" max="10242" width="26.85546875" style="3" customWidth="1"/>
    <col min="10243" max="10251" width="7.7109375" style="3" customWidth="1"/>
    <col min="10252" max="10252" width="8.28515625" style="3" customWidth="1"/>
    <col min="10253" max="10255" width="7.7109375" style="3" customWidth="1"/>
    <col min="10256" max="10497" width="11.42578125" style="3"/>
    <col min="10498" max="10498" width="26.85546875" style="3" customWidth="1"/>
    <col min="10499" max="10507" width="7.7109375" style="3" customWidth="1"/>
    <col min="10508" max="10508" width="8.28515625" style="3" customWidth="1"/>
    <col min="10509" max="10511" width="7.7109375" style="3" customWidth="1"/>
    <col min="10512" max="10753" width="11.42578125" style="3"/>
    <col min="10754" max="10754" width="26.85546875" style="3" customWidth="1"/>
    <col min="10755" max="10763" width="7.7109375" style="3" customWidth="1"/>
    <col min="10764" max="10764" width="8.28515625" style="3" customWidth="1"/>
    <col min="10765" max="10767" width="7.7109375" style="3" customWidth="1"/>
    <col min="10768" max="11009" width="11.42578125" style="3"/>
    <col min="11010" max="11010" width="26.85546875" style="3" customWidth="1"/>
    <col min="11011" max="11019" width="7.7109375" style="3" customWidth="1"/>
    <col min="11020" max="11020" width="8.28515625" style="3" customWidth="1"/>
    <col min="11021" max="11023" width="7.7109375" style="3" customWidth="1"/>
    <col min="11024" max="11265" width="11.42578125" style="3"/>
    <col min="11266" max="11266" width="26.85546875" style="3" customWidth="1"/>
    <col min="11267" max="11275" width="7.7109375" style="3" customWidth="1"/>
    <col min="11276" max="11276" width="8.28515625" style="3" customWidth="1"/>
    <col min="11277" max="11279" width="7.7109375" style="3" customWidth="1"/>
    <col min="11280" max="11521" width="11.42578125" style="3"/>
    <col min="11522" max="11522" width="26.85546875" style="3" customWidth="1"/>
    <col min="11523" max="11531" width="7.7109375" style="3" customWidth="1"/>
    <col min="11532" max="11532" width="8.28515625" style="3" customWidth="1"/>
    <col min="11533" max="11535" width="7.7109375" style="3" customWidth="1"/>
    <col min="11536" max="11777" width="11.42578125" style="3"/>
    <col min="11778" max="11778" width="26.85546875" style="3" customWidth="1"/>
    <col min="11779" max="11787" width="7.7109375" style="3" customWidth="1"/>
    <col min="11788" max="11788" width="8.28515625" style="3" customWidth="1"/>
    <col min="11789" max="11791" width="7.7109375" style="3" customWidth="1"/>
    <col min="11792" max="12033" width="11.42578125" style="3"/>
    <col min="12034" max="12034" width="26.85546875" style="3" customWidth="1"/>
    <col min="12035" max="12043" width="7.7109375" style="3" customWidth="1"/>
    <col min="12044" max="12044" width="8.28515625" style="3" customWidth="1"/>
    <col min="12045" max="12047" width="7.7109375" style="3" customWidth="1"/>
    <col min="12048" max="12289" width="11.42578125" style="3"/>
    <col min="12290" max="12290" width="26.85546875" style="3" customWidth="1"/>
    <col min="12291" max="12299" width="7.7109375" style="3" customWidth="1"/>
    <col min="12300" max="12300" width="8.28515625" style="3" customWidth="1"/>
    <col min="12301" max="12303" width="7.7109375" style="3" customWidth="1"/>
    <col min="12304" max="12545" width="11.42578125" style="3"/>
    <col min="12546" max="12546" width="26.85546875" style="3" customWidth="1"/>
    <col min="12547" max="12555" width="7.7109375" style="3" customWidth="1"/>
    <col min="12556" max="12556" width="8.28515625" style="3" customWidth="1"/>
    <col min="12557" max="12559" width="7.7109375" style="3" customWidth="1"/>
    <col min="12560" max="12801" width="11.42578125" style="3"/>
    <col min="12802" max="12802" width="26.85546875" style="3" customWidth="1"/>
    <col min="12803" max="12811" width="7.7109375" style="3" customWidth="1"/>
    <col min="12812" max="12812" width="8.28515625" style="3" customWidth="1"/>
    <col min="12813" max="12815" width="7.7109375" style="3" customWidth="1"/>
    <col min="12816" max="13057" width="11.42578125" style="3"/>
    <col min="13058" max="13058" width="26.85546875" style="3" customWidth="1"/>
    <col min="13059" max="13067" width="7.7109375" style="3" customWidth="1"/>
    <col min="13068" max="13068" width="8.28515625" style="3" customWidth="1"/>
    <col min="13069" max="13071" width="7.7109375" style="3" customWidth="1"/>
    <col min="13072" max="13313" width="11.42578125" style="3"/>
    <col min="13314" max="13314" width="26.85546875" style="3" customWidth="1"/>
    <col min="13315" max="13323" width="7.7109375" style="3" customWidth="1"/>
    <col min="13324" max="13324" width="8.28515625" style="3" customWidth="1"/>
    <col min="13325" max="13327" width="7.7109375" style="3" customWidth="1"/>
    <col min="13328" max="13569" width="11.42578125" style="3"/>
    <col min="13570" max="13570" width="26.85546875" style="3" customWidth="1"/>
    <col min="13571" max="13579" width="7.7109375" style="3" customWidth="1"/>
    <col min="13580" max="13580" width="8.28515625" style="3" customWidth="1"/>
    <col min="13581" max="13583" width="7.7109375" style="3" customWidth="1"/>
    <col min="13584" max="13825" width="11.42578125" style="3"/>
    <col min="13826" max="13826" width="26.85546875" style="3" customWidth="1"/>
    <col min="13827" max="13835" width="7.7109375" style="3" customWidth="1"/>
    <col min="13836" max="13836" width="8.28515625" style="3" customWidth="1"/>
    <col min="13837" max="13839" width="7.7109375" style="3" customWidth="1"/>
    <col min="13840" max="14081" width="11.42578125" style="3"/>
    <col min="14082" max="14082" width="26.85546875" style="3" customWidth="1"/>
    <col min="14083" max="14091" width="7.7109375" style="3" customWidth="1"/>
    <col min="14092" max="14092" width="8.28515625" style="3" customWidth="1"/>
    <col min="14093" max="14095" width="7.7109375" style="3" customWidth="1"/>
    <col min="14096" max="14337" width="11.42578125" style="3"/>
    <col min="14338" max="14338" width="26.85546875" style="3" customWidth="1"/>
    <col min="14339" max="14347" width="7.7109375" style="3" customWidth="1"/>
    <col min="14348" max="14348" width="8.28515625" style="3" customWidth="1"/>
    <col min="14349" max="14351" width="7.7109375" style="3" customWidth="1"/>
    <col min="14352" max="14593" width="11.42578125" style="3"/>
    <col min="14594" max="14594" width="26.85546875" style="3" customWidth="1"/>
    <col min="14595" max="14603" width="7.7109375" style="3" customWidth="1"/>
    <col min="14604" max="14604" width="8.28515625" style="3" customWidth="1"/>
    <col min="14605" max="14607" width="7.7109375" style="3" customWidth="1"/>
    <col min="14608" max="14849" width="11.42578125" style="3"/>
    <col min="14850" max="14850" width="26.85546875" style="3" customWidth="1"/>
    <col min="14851" max="14859" width="7.7109375" style="3" customWidth="1"/>
    <col min="14860" max="14860" width="8.28515625" style="3" customWidth="1"/>
    <col min="14861" max="14863" width="7.7109375" style="3" customWidth="1"/>
    <col min="14864" max="15105" width="11.42578125" style="3"/>
    <col min="15106" max="15106" width="26.85546875" style="3" customWidth="1"/>
    <col min="15107" max="15115" width="7.7109375" style="3" customWidth="1"/>
    <col min="15116" max="15116" width="8.28515625" style="3" customWidth="1"/>
    <col min="15117" max="15119" width="7.7109375" style="3" customWidth="1"/>
    <col min="15120" max="15361" width="11.42578125" style="3"/>
    <col min="15362" max="15362" width="26.85546875" style="3" customWidth="1"/>
    <col min="15363" max="15371" width="7.7109375" style="3" customWidth="1"/>
    <col min="15372" max="15372" width="8.28515625" style="3" customWidth="1"/>
    <col min="15373" max="15375" width="7.7109375" style="3" customWidth="1"/>
    <col min="15376" max="15617" width="11.42578125" style="3"/>
    <col min="15618" max="15618" width="26.85546875" style="3" customWidth="1"/>
    <col min="15619" max="15627" width="7.7109375" style="3" customWidth="1"/>
    <col min="15628" max="15628" width="8.28515625" style="3" customWidth="1"/>
    <col min="15629" max="15631" width="7.7109375" style="3" customWidth="1"/>
    <col min="15632" max="15873" width="11.42578125" style="3"/>
    <col min="15874" max="15874" width="26.85546875" style="3" customWidth="1"/>
    <col min="15875" max="15883" width="7.7109375" style="3" customWidth="1"/>
    <col min="15884" max="15884" width="8.28515625" style="3" customWidth="1"/>
    <col min="15885" max="15887" width="7.7109375" style="3" customWidth="1"/>
    <col min="15888" max="16129" width="11.42578125" style="3"/>
    <col min="16130" max="16130" width="26.85546875" style="3" customWidth="1"/>
    <col min="16131" max="16139" width="7.7109375" style="3" customWidth="1"/>
    <col min="16140" max="16140" width="8.28515625" style="3" customWidth="1"/>
    <col min="16141" max="16143" width="7.7109375" style="3" customWidth="1"/>
    <col min="16144" max="16384" width="11.42578125" style="3"/>
  </cols>
  <sheetData>
    <row r="1" spans="1:24" ht="20.25" customHeight="1" x14ac:dyDescent="0.25">
      <c r="A1" s="247"/>
      <c r="B1" s="248"/>
      <c r="C1" s="249"/>
      <c r="D1" s="243" t="s">
        <v>20</v>
      </c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4"/>
    </row>
    <row r="2" spans="1:24" ht="15.75" customHeight="1" thickBot="1" x14ac:dyDescent="0.3">
      <c r="A2" s="250"/>
      <c r="B2" s="251"/>
      <c r="C2" s="252"/>
      <c r="D2" s="245" t="s">
        <v>67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6"/>
    </row>
    <row r="3" spans="1:24" ht="13.5" customHeight="1" x14ac:dyDescent="0.25">
      <c r="A3" s="253" t="s">
        <v>0</v>
      </c>
      <c r="B3" s="254"/>
      <c r="C3" s="254"/>
      <c r="D3" s="254"/>
      <c r="E3" s="254"/>
      <c r="F3" s="254" t="str">
        <f>'SET SP Nataga'!J3</f>
        <v>GESTIÓN DE SERVICIOS PÚBLICOS - NATAGA</v>
      </c>
      <c r="G3" s="254"/>
      <c r="H3" s="254"/>
      <c r="I3" s="254"/>
      <c r="J3" s="254"/>
      <c r="K3" s="254"/>
      <c r="L3" s="254"/>
      <c r="M3" s="254"/>
      <c r="N3" s="254"/>
      <c r="O3" s="255"/>
    </row>
    <row r="4" spans="1:24" ht="15.75" customHeight="1" x14ac:dyDescent="0.25">
      <c r="A4" s="235" t="s">
        <v>1</v>
      </c>
      <c r="B4" s="236"/>
      <c r="C4" s="236"/>
      <c r="D4" s="236"/>
      <c r="E4" s="236"/>
      <c r="F4" s="256" t="str">
        <f>'SET SP Nataga'!$B8</f>
        <v xml:space="preserve">Rotación de Cartera </v>
      </c>
      <c r="G4" s="256"/>
      <c r="H4" s="256"/>
      <c r="I4" s="256"/>
      <c r="J4" s="256"/>
      <c r="K4" s="256"/>
      <c r="L4" s="256"/>
      <c r="M4" s="256"/>
      <c r="N4" s="256"/>
      <c r="O4" s="277"/>
    </row>
    <row r="5" spans="1:24" ht="15.75" customHeight="1" x14ac:dyDescent="0.25">
      <c r="A5" s="235" t="s">
        <v>55</v>
      </c>
      <c r="B5" s="236"/>
      <c r="C5" s="236"/>
      <c r="D5" s="236"/>
      <c r="E5" s="236"/>
      <c r="F5" s="238" t="str">
        <f>'SET SP Nataga'!F8</f>
        <v xml:space="preserve">Eficiencia </v>
      </c>
      <c r="G5" s="239"/>
      <c r="H5" s="239"/>
      <c r="I5" s="239"/>
      <c r="J5" s="239"/>
      <c r="K5" s="239"/>
      <c r="L5" s="239"/>
      <c r="M5" s="239"/>
      <c r="N5" s="239"/>
      <c r="O5" s="240"/>
    </row>
    <row r="6" spans="1:24" ht="17.25" customHeight="1" thickBot="1" x14ac:dyDescent="0.3">
      <c r="A6" s="259" t="s">
        <v>21</v>
      </c>
      <c r="B6" s="260"/>
      <c r="C6" s="260"/>
      <c r="D6" s="260"/>
      <c r="E6" s="260"/>
      <c r="F6" s="26" t="s">
        <v>94</v>
      </c>
      <c r="G6" s="261" t="str">
        <f>'SET SP Nataga'!A8</f>
        <v>IN03</v>
      </c>
      <c r="H6" s="261"/>
      <c r="I6" s="261"/>
      <c r="J6" s="261"/>
      <c r="K6" s="261"/>
      <c r="L6" s="261"/>
      <c r="M6" s="261"/>
      <c r="N6" s="261"/>
      <c r="O6" s="276"/>
    </row>
    <row r="7" spans="1:24" ht="12.75" customHeight="1" x14ac:dyDescent="0.25">
      <c r="A7" s="264" t="s">
        <v>22</v>
      </c>
      <c r="B7" s="265"/>
      <c r="C7" s="265"/>
      <c r="D7" s="265"/>
      <c r="E7" s="230" t="s">
        <v>23</v>
      </c>
      <c r="F7" s="230" t="s">
        <v>24</v>
      </c>
      <c r="G7" s="230"/>
      <c r="H7" s="230" t="s">
        <v>25</v>
      </c>
      <c r="I7" s="230" t="s">
        <v>26</v>
      </c>
      <c r="J7" s="230" t="s">
        <v>27</v>
      </c>
      <c r="K7" s="230"/>
      <c r="L7" s="232" t="s">
        <v>28</v>
      </c>
      <c r="M7" s="232"/>
      <c r="N7" s="232"/>
      <c r="O7" s="233"/>
    </row>
    <row r="8" spans="1:24" ht="46.5" customHeight="1" x14ac:dyDescent="0.25">
      <c r="A8" s="266"/>
      <c r="B8" s="234"/>
      <c r="C8" s="234"/>
      <c r="D8" s="234"/>
      <c r="E8" s="231"/>
      <c r="F8" s="231"/>
      <c r="G8" s="231"/>
      <c r="H8" s="231"/>
      <c r="I8" s="231"/>
      <c r="J8" s="231"/>
      <c r="K8" s="231"/>
      <c r="L8" s="234" t="s">
        <v>29</v>
      </c>
      <c r="M8" s="234"/>
      <c r="N8" s="234" t="s">
        <v>30</v>
      </c>
      <c r="O8" s="237"/>
    </row>
    <row r="9" spans="1:24" ht="57.75" customHeight="1" thickBot="1" x14ac:dyDescent="0.3">
      <c r="A9" s="206" t="str">
        <f>'SET SP Nataga'!$C8</f>
        <v>Controlar la cartera existentes de servicios publicos por edades con el fin de evaluar la rotación de la misma.</v>
      </c>
      <c r="B9" s="207"/>
      <c r="C9" s="207"/>
      <c r="D9" s="207"/>
      <c r="E9" s="17" t="s">
        <v>112</v>
      </c>
      <c r="F9" s="207" t="str">
        <f>'SET SP Nataga'!$D8</f>
        <v>(Cuentas por Cobrar  a particulares y/o oficiales /  Valor Facturado Usuarios particulares y/o oficiales) x 365</v>
      </c>
      <c r="G9" s="207"/>
      <c r="H9" s="57">
        <f>$O16</f>
        <v>0</v>
      </c>
      <c r="I9" s="36" t="str">
        <f>'SET SP Nataga'!$E8</f>
        <v>Trimestral</v>
      </c>
      <c r="J9" s="208" t="s">
        <v>89</v>
      </c>
      <c r="K9" s="209"/>
      <c r="L9" s="209"/>
      <c r="M9" s="209"/>
      <c r="N9" s="209"/>
      <c r="O9" s="210"/>
    </row>
    <row r="10" spans="1:24" ht="13.5" customHeight="1" x14ac:dyDescent="0.25">
      <c r="A10" s="216" t="s">
        <v>38</v>
      </c>
      <c r="B10" s="217"/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8"/>
    </row>
    <row r="11" spans="1:24" ht="21.75" customHeight="1" thickBot="1" x14ac:dyDescent="0.3">
      <c r="A11" s="219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1"/>
    </row>
    <row r="12" spans="1:24" ht="15" customHeight="1" thickBot="1" x14ac:dyDescent="0.3">
      <c r="A12" s="222" t="s">
        <v>31</v>
      </c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4"/>
      <c r="V12" s="9"/>
      <c r="W12" s="35"/>
      <c r="X12" s="35"/>
    </row>
    <row r="13" spans="1:24" ht="16.5" customHeight="1" x14ac:dyDescent="0.25">
      <c r="A13" s="225" t="s">
        <v>273</v>
      </c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7"/>
      <c r="V13" s="9"/>
      <c r="W13" s="10"/>
      <c r="X13" s="10"/>
    </row>
    <row r="14" spans="1:24" ht="16.5" customHeight="1" x14ac:dyDescent="0.25">
      <c r="A14" s="228" t="s">
        <v>32</v>
      </c>
      <c r="B14" s="229"/>
      <c r="C14" s="135" t="s">
        <v>8</v>
      </c>
      <c r="D14" s="135" t="s">
        <v>9</v>
      </c>
      <c r="E14" s="135" t="s">
        <v>10</v>
      </c>
      <c r="F14" s="135" t="s">
        <v>11</v>
      </c>
      <c r="G14" s="135" t="s">
        <v>12</v>
      </c>
      <c r="H14" s="135" t="s">
        <v>13</v>
      </c>
      <c r="I14" s="135" t="s">
        <v>14</v>
      </c>
      <c r="J14" s="135" t="s">
        <v>15</v>
      </c>
      <c r="K14" s="135" t="s">
        <v>16</v>
      </c>
      <c r="L14" s="135" t="s">
        <v>17</v>
      </c>
      <c r="M14" s="135" t="s">
        <v>18</v>
      </c>
      <c r="N14" s="135" t="s">
        <v>19</v>
      </c>
      <c r="O14" s="6" t="s">
        <v>33</v>
      </c>
      <c r="V14" s="9"/>
      <c r="W14" s="10"/>
      <c r="X14" s="10"/>
    </row>
    <row r="15" spans="1:24" ht="16.5" customHeight="1" x14ac:dyDescent="0.25">
      <c r="A15" s="183" t="s">
        <v>39</v>
      </c>
      <c r="B15" s="184"/>
      <c r="C15" s="142">
        <f t="shared" ref="C15:N15" si="0">$O$15</f>
        <v>0</v>
      </c>
      <c r="D15" s="142">
        <f t="shared" si="0"/>
        <v>0</v>
      </c>
      <c r="E15" s="142">
        <f t="shared" si="0"/>
        <v>0</v>
      </c>
      <c r="F15" s="142">
        <f t="shared" si="0"/>
        <v>0</v>
      </c>
      <c r="G15" s="142">
        <f t="shared" si="0"/>
        <v>0</v>
      </c>
      <c r="H15" s="142">
        <f t="shared" si="0"/>
        <v>0</v>
      </c>
      <c r="I15" s="142">
        <f t="shared" si="0"/>
        <v>0</v>
      </c>
      <c r="J15" s="142">
        <f t="shared" si="0"/>
        <v>0</v>
      </c>
      <c r="K15" s="142">
        <f t="shared" si="0"/>
        <v>0</v>
      </c>
      <c r="L15" s="142">
        <f t="shared" si="0"/>
        <v>0</v>
      </c>
      <c r="M15" s="142">
        <f t="shared" si="0"/>
        <v>0</v>
      </c>
      <c r="N15" s="142">
        <f t="shared" si="0"/>
        <v>0</v>
      </c>
      <c r="O15" s="143">
        <f>'SET SP Nataga'!J8</f>
        <v>0</v>
      </c>
      <c r="V15" s="9"/>
      <c r="W15" s="10"/>
      <c r="X15" s="10"/>
    </row>
    <row r="16" spans="1:24" ht="17.25" customHeight="1" x14ac:dyDescent="0.25">
      <c r="A16" s="183" t="s">
        <v>272</v>
      </c>
      <c r="B16" s="184"/>
      <c r="C16" s="142">
        <f t="shared" ref="C16:N16" si="1">$O$16</f>
        <v>0</v>
      </c>
      <c r="D16" s="142">
        <f t="shared" si="1"/>
        <v>0</v>
      </c>
      <c r="E16" s="142">
        <f t="shared" si="1"/>
        <v>0</v>
      </c>
      <c r="F16" s="142">
        <f t="shared" si="1"/>
        <v>0</v>
      </c>
      <c r="G16" s="142">
        <f t="shared" si="1"/>
        <v>0</v>
      </c>
      <c r="H16" s="142">
        <f t="shared" si="1"/>
        <v>0</v>
      </c>
      <c r="I16" s="142">
        <f t="shared" si="1"/>
        <v>0</v>
      </c>
      <c r="J16" s="142">
        <f t="shared" si="1"/>
        <v>0</v>
      </c>
      <c r="K16" s="142">
        <f t="shared" si="1"/>
        <v>0</v>
      </c>
      <c r="L16" s="142">
        <f t="shared" si="1"/>
        <v>0</v>
      </c>
      <c r="M16" s="142">
        <f t="shared" si="1"/>
        <v>0</v>
      </c>
      <c r="N16" s="142">
        <f t="shared" si="1"/>
        <v>0</v>
      </c>
      <c r="O16" s="143">
        <f>'SET SP Nataga'!K8</f>
        <v>0</v>
      </c>
      <c r="V16" s="9"/>
      <c r="W16" s="10"/>
      <c r="X16" s="10"/>
    </row>
    <row r="17" spans="1:24" ht="17.25" customHeight="1" x14ac:dyDescent="0.25">
      <c r="A17" s="187" t="s">
        <v>263</v>
      </c>
      <c r="B17" s="188"/>
      <c r="C17" s="53">
        <f>IF((C20),(C18/C20)*30,"-")</f>
        <v>3.6632091044211914</v>
      </c>
      <c r="D17" s="53">
        <f>IF((D20),(D18/D20)*60,"-")</f>
        <v>4.0978033585300135</v>
      </c>
      <c r="E17" s="53">
        <f>IF((E20),(E18/E20)*90,"-")</f>
        <v>4.6986348232325934</v>
      </c>
      <c r="F17" s="53">
        <f>IF((F20),(F18/F20)*120,"-")</f>
        <v>6.327422770947412</v>
      </c>
      <c r="G17" s="53">
        <f>IF((G20),(G18/G20)*150,"-")</f>
        <v>6.4299269596974051</v>
      </c>
      <c r="H17" s="53">
        <f>IF((H20),(H18/H20)*180,"-")</f>
        <v>6.48065365375012</v>
      </c>
      <c r="I17" s="53">
        <f>IF((I20),(I18/I20)*220,"-")</f>
        <v>7.5167495933284982</v>
      </c>
      <c r="J17" s="53">
        <f>IF((J20),(J18/J20)*250,"-")</f>
        <v>7.7736246916662015</v>
      </c>
      <c r="K17" s="53">
        <f>IF((K20),(K18/K20)*280,"-")</f>
        <v>5.6541025576031023</v>
      </c>
      <c r="L17" s="53">
        <f>IF((L20),(L18/L20)*310,"-")</f>
        <v>7.3436687054096863</v>
      </c>
      <c r="M17" s="53">
        <f>IF((M20),(M18/M20)*330,"-")</f>
        <v>7.0398181544439575</v>
      </c>
      <c r="N17" s="53">
        <f>IF((N20),(N18/N20)*365,"-")</f>
        <v>6.8040223920931036</v>
      </c>
      <c r="O17" s="54">
        <f t="shared" ref="O17" si="2">IF((O20),(O18/O20)*365,"-")</f>
        <v>6.34260120032532</v>
      </c>
      <c r="V17" s="9"/>
      <c r="W17" s="10"/>
      <c r="X17" s="10"/>
    </row>
    <row r="18" spans="1:24" ht="24.75" customHeight="1" x14ac:dyDescent="0.25">
      <c r="A18" s="189" t="s">
        <v>37</v>
      </c>
      <c r="B18" s="39" t="s">
        <v>133</v>
      </c>
      <c r="C18" s="62">
        <f>+'NATAGA-18'!D37</f>
        <v>2362564</v>
      </c>
      <c r="D18" s="62">
        <f>+'NATAGA-18'!E37</f>
        <v>2254396</v>
      </c>
      <c r="E18" s="62">
        <f>+'NATAGA-18'!F37</f>
        <v>2441750</v>
      </c>
      <c r="F18" s="62">
        <f>+'NATAGA-18'!G37</f>
        <v>3266300</v>
      </c>
      <c r="G18" s="62">
        <f>+'NATAGA-18'!H37</f>
        <v>3286550</v>
      </c>
      <c r="H18" s="62">
        <f>+'NATAGA-18'!I37</f>
        <v>3287650</v>
      </c>
      <c r="I18" s="62">
        <f>+'NATAGA-18'!J37</f>
        <v>3654815</v>
      </c>
      <c r="J18" s="62">
        <f>+'NATAGA-18'!K37</f>
        <v>3786800</v>
      </c>
      <c r="K18" s="62">
        <f>+'NATAGA-18'!L37</f>
        <v>2788250</v>
      </c>
      <c r="L18" s="62">
        <f>+'NATAGA-18'!M37</f>
        <v>3603800</v>
      </c>
      <c r="M18" s="62">
        <f>+'NATAGA-18'!N37</f>
        <v>3556450</v>
      </c>
      <c r="N18" s="62">
        <f>+'NATAGA-18'!O37</f>
        <v>3366250</v>
      </c>
      <c r="O18" s="64">
        <f>AVERAGE(C18:N18)</f>
        <v>3137964.5833333335</v>
      </c>
      <c r="V18" s="9"/>
      <c r="W18" s="10"/>
      <c r="X18" s="10"/>
    </row>
    <row r="19" spans="1:24" ht="24.75" customHeight="1" x14ac:dyDescent="0.25">
      <c r="A19" s="189"/>
      <c r="B19" s="39" t="s">
        <v>247</v>
      </c>
      <c r="C19" s="62">
        <f>'01'!C19</f>
        <v>19348314</v>
      </c>
      <c r="D19" s="62">
        <f>'01'!D19</f>
        <v>13660532</v>
      </c>
      <c r="E19" s="62">
        <f>'01'!E19</f>
        <v>13761654</v>
      </c>
      <c r="F19" s="62">
        <f>'01'!F19</f>
        <v>15175100</v>
      </c>
      <c r="G19" s="62">
        <f>'01'!G19</f>
        <v>14724400</v>
      </c>
      <c r="H19" s="62">
        <f>'01'!H19</f>
        <v>14644400</v>
      </c>
      <c r="I19" s="62">
        <f>'01'!I19</f>
        <v>15654615</v>
      </c>
      <c r="J19" s="62">
        <f>'01'!J19</f>
        <v>14814585</v>
      </c>
      <c r="K19" s="62">
        <f>'01'!K19</f>
        <v>16294900</v>
      </c>
      <c r="L19" s="62">
        <f>'01'!L19</f>
        <v>14049550</v>
      </c>
      <c r="M19" s="62">
        <f>'01'!M19</f>
        <v>14584850</v>
      </c>
      <c r="N19" s="62">
        <f>'01'!N19</f>
        <v>13868700</v>
      </c>
      <c r="O19" s="63">
        <f>SUM(C19:N19)</f>
        <v>180581600</v>
      </c>
      <c r="V19" s="9"/>
      <c r="W19" s="10"/>
      <c r="X19" s="10"/>
    </row>
    <row r="20" spans="1:24" ht="23.25" customHeight="1" x14ac:dyDescent="0.25">
      <c r="A20" s="189"/>
      <c r="B20" s="39" t="s">
        <v>248</v>
      </c>
      <c r="C20" s="62">
        <f>C19</f>
        <v>19348314</v>
      </c>
      <c r="D20" s="62">
        <f>C20+D19</f>
        <v>33008846</v>
      </c>
      <c r="E20" s="62">
        <f t="shared" ref="E20:J20" si="3">D20+E19</f>
        <v>46770500</v>
      </c>
      <c r="F20" s="62">
        <f t="shared" si="3"/>
        <v>61945600</v>
      </c>
      <c r="G20" s="62">
        <f t="shared" si="3"/>
        <v>76670000</v>
      </c>
      <c r="H20" s="62">
        <f t="shared" si="3"/>
        <v>91314400</v>
      </c>
      <c r="I20" s="62">
        <f t="shared" si="3"/>
        <v>106969015</v>
      </c>
      <c r="J20" s="62">
        <f t="shared" si="3"/>
        <v>121783600</v>
      </c>
      <c r="K20" s="62">
        <f t="shared" ref="K20" si="4">J20+K19</f>
        <v>138078500</v>
      </c>
      <c r="L20" s="62">
        <f t="shared" ref="L20" si="5">K20+L19</f>
        <v>152128050</v>
      </c>
      <c r="M20" s="62">
        <f t="shared" ref="M20" si="6">L20+M19</f>
        <v>166712900</v>
      </c>
      <c r="N20" s="62">
        <f t="shared" ref="N20" si="7">M20+N19</f>
        <v>180581600</v>
      </c>
      <c r="O20" s="64">
        <f>MAX(C20:N20)</f>
        <v>180581600</v>
      </c>
      <c r="V20" s="9"/>
      <c r="W20" s="10"/>
      <c r="X20" s="10"/>
    </row>
    <row r="21" spans="1:24" ht="17.25" customHeight="1" x14ac:dyDescent="0.25">
      <c r="A21" s="189"/>
      <c r="B21" s="13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19"/>
      <c r="V21" s="9"/>
      <c r="W21" s="10"/>
      <c r="X21" s="10"/>
    </row>
    <row r="22" spans="1:24" ht="18" customHeight="1" thickBot="1" x14ac:dyDescent="0.3">
      <c r="A22" s="190"/>
      <c r="B22" s="136" t="s">
        <v>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20"/>
      <c r="V22" s="9"/>
      <c r="W22" s="10"/>
      <c r="X22" s="10"/>
    </row>
    <row r="23" spans="1:24" ht="14.25" customHeight="1" thickBot="1" x14ac:dyDescent="0.3">
      <c r="A23" s="191" t="s">
        <v>34</v>
      </c>
      <c r="B23" s="192"/>
      <c r="C23" s="193"/>
      <c r="D23" s="180" t="str">
        <f>'SET SP Nataga'!$G8</f>
        <v>Menor a 31 días</v>
      </c>
      <c r="E23" s="181"/>
      <c r="F23" s="181"/>
      <c r="G23" s="182"/>
      <c r="H23" s="180" t="str">
        <f>'SET SP Nataga'!$H8</f>
        <v>Entre 31 y 45 días</v>
      </c>
      <c r="I23" s="181"/>
      <c r="J23" s="181"/>
      <c r="K23" s="182"/>
      <c r="L23" s="180" t="str">
        <f>'SET SP Nataga'!$I8</f>
        <v>Mayor a 45 días</v>
      </c>
      <c r="M23" s="185"/>
      <c r="N23" s="185"/>
      <c r="O23" s="186"/>
      <c r="V23" s="9"/>
      <c r="W23" s="10"/>
      <c r="X23" s="10"/>
    </row>
    <row r="24" spans="1:24" ht="33" customHeight="1" thickBot="1" x14ac:dyDescent="0.3">
      <c r="A24" s="194"/>
      <c r="B24" s="195"/>
      <c r="C24" s="195"/>
      <c r="D24" s="196" t="s">
        <v>7</v>
      </c>
      <c r="E24" s="196"/>
      <c r="F24" s="196"/>
      <c r="G24" s="196"/>
      <c r="H24" s="197" t="s">
        <v>61</v>
      </c>
      <c r="I24" s="197"/>
      <c r="J24" s="197"/>
      <c r="K24" s="197"/>
      <c r="L24" s="211" t="s">
        <v>62</v>
      </c>
      <c r="M24" s="211"/>
      <c r="N24" s="211"/>
      <c r="O24" s="212"/>
      <c r="V24" s="9"/>
      <c r="W24" s="10"/>
      <c r="X24" s="10"/>
    </row>
    <row r="25" spans="1:24" ht="15.75" customHeight="1" thickBot="1" x14ac:dyDescent="0.3">
      <c r="A25" s="213" t="s">
        <v>36</v>
      </c>
      <c r="B25" s="214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5"/>
      <c r="V25" s="9"/>
      <c r="W25" s="10"/>
      <c r="X25" s="10"/>
    </row>
    <row r="26" spans="1:24" ht="264.75" customHeight="1" thickBot="1" x14ac:dyDescent="0.3">
      <c r="A26" s="177"/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9"/>
      <c r="V26" s="9"/>
    </row>
    <row r="27" spans="1:24" ht="15" customHeight="1" x14ac:dyDescent="0.25">
      <c r="A27" s="198" t="s">
        <v>58</v>
      </c>
      <c r="B27" s="199"/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99"/>
      <c r="N27" s="200" t="s">
        <v>60</v>
      </c>
      <c r="O27" s="201"/>
    </row>
    <row r="28" spans="1:24" ht="15" x14ac:dyDescent="0.25">
      <c r="A28" s="202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41">
        <v>43101</v>
      </c>
      <c r="O28" s="242"/>
    </row>
    <row r="29" spans="1:24" ht="15" x14ac:dyDescent="0.25">
      <c r="A29" s="202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41">
        <v>43132</v>
      </c>
      <c r="O29" s="242"/>
    </row>
    <row r="30" spans="1:24" ht="15" x14ac:dyDescent="0.25">
      <c r="A30" s="202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41">
        <v>43160</v>
      </c>
      <c r="O30" s="242"/>
    </row>
    <row r="31" spans="1:24" ht="15" x14ac:dyDescent="0.25">
      <c r="A31" s="202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41">
        <v>43191</v>
      </c>
      <c r="O31" s="242"/>
    </row>
    <row r="32" spans="1:24" ht="15" x14ac:dyDescent="0.25">
      <c r="A32" s="202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41">
        <v>43221</v>
      </c>
      <c r="O32" s="242"/>
    </row>
    <row r="33" spans="1:17" ht="15" x14ac:dyDescent="0.25">
      <c r="A33" s="202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41">
        <v>43252</v>
      </c>
      <c r="O33" s="242"/>
    </row>
    <row r="34" spans="1:17" ht="15" x14ac:dyDescent="0.25">
      <c r="A34" s="202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41">
        <v>43282</v>
      </c>
      <c r="O34" s="242"/>
    </row>
    <row r="35" spans="1:17" ht="15" x14ac:dyDescent="0.25">
      <c r="A35" s="202"/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41">
        <v>43313</v>
      </c>
      <c r="O35" s="242"/>
    </row>
    <row r="36" spans="1:17" ht="15" x14ac:dyDescent="0.25">
      <c r="A36" s="202"/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41">
        <v>43344</v>
      </c>
      <c r="O36" s="242"/>
    </row>
    <row r="37" spans="1:17" ht="15" x14ac:dyDescent="0.25">
      <c r="A37" s="202"/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41">
        <v>43374</v>
      </c>
      <c r="O37" s="242"/>
    </row>
    <row r="38" spans="1:17" ht="15" x14ac:dyDescent="0.25">
      <c r="A38" s="202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41">
        <v>43405</v>
      </c>
      <c r="O38" s="242"/>
    </row>
    <row r="39" spans="1:17" ht="15.75" thickBot="1" x14ac:dyDescent="0.3">
      <c r="A39" s="202"/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41">
        <v>43435</v>
      </c>
      <c r="O39" s="242"/>
    </row>
    <row r="40" spans="1:17" ht="19.5" customHeight="1" x14ac:dyDescent="0.25">
      <c r="A40" s="198" t="s">
        <v>59</v>
      </c>
      <c r="B40" s="199"/>
      <c r="C40" s="199"/>
      <c r="D40" s="199"/>
      <c r="E40" s="199"/>
      <c r="F40" s="199"/>
      <c r="G40" s="199"/>
      <c r="H40" s="199"/>
      <c r="I40" s="199"/>
      <c r="J40" s="199"/>
      <c r="K40" s="199"/>
      <c r="L40" s="199"/>
      <c r="M40" s="199"/>
      <c r="N40" s="200" t="s">
        <v>60</v>
      </c>
      <c r="O40" s="201"/>
    </row>
    <row r="41" spans="1:17" ht="27.75" customHeight="1" x14ac:dyDescent="0.25">
      <c r="A41" s="202"/>
      <c r="B41" s="203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41"/>
      <c r="O41" s="242"/>
    </row>
    <row r="42" spans="1:17" ht="15.75" thickBot="1" x14ac:dyDescent="0.3">
      <c r="A42" s="273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5"/>
    </row>
    <row r="43" spans="1:17" ht="5.25" customHeight="1" x14ac:dyDescent="0.25">
      <c r="A43" s="176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</row>
    <row r="45" spans="1:17" ht="14.25" x14ac:dyDescent="0.2">
      <c r="Q45" s="48" t="s">
        <v>81</v>
      </c>
    </row>
    <row r="46" spans="1:17" ht="14.25" x14ac:dyDescent="0.2">
      <c r="Q46" s="48" t="s">
        <v>82</v>
      </c>
    </row>
    <row r="47" spans="1:17" ht="14.25" x14ac:dyDescent="0.2">
      <c r="Q47" s="48" t="s">
        <v>83</v>
      </c>
    </row>
    <row r="48" spans="1:17" ht="14.25" x14ac:dyDescent="0.2">
      <c r="Q48" s="48" t="s">
        <v>84</v>
      </c>
    </row>
    <row r="49" spans="17:17" ht="14.25" x14ac:dyDescent="0.2">
      <c r="Q49" s="48" t="s">
        <v>85</v>
      </c>
    </row>
    <row r="50" spans="17:17" ht="14.25" x14ac:dyDescent="0.2">
      <c r="Q50" s="48" t="s">
        <v>86</v>
      </c>
    </row>
    <row r="51" spans="17:17" ht="14.25" x14ac:dyDescent="0.2">
      <c r="Q51" s="48" t="s">
        <v>87</v>
      </c>
    </row>
    <row r="52" spans="17:17" ht="14.25" x14ac:dyDescent="0.2">
      <c r="Q52" s="48" t="s">
        <v>88</v>
      </c>
    </row>
    <row r="53" spans="17:17" ht="14.25" x14ac:dyDescent="0.2">
      <c r="Q53" s="48" t="s">
        <v>89</v>
      </c>
    </row>
    <row r="54" spans="17:17" ht="14.25" x14ac:dyDescent="0.2">
      <c r="Q54" s="48" t="s">
        <v>90</v>
      </c>
    </row>
    <row r="55" spans="17:17" ht="14.25" x14ac:dyDescent="0.2">
      <c r="Q55" s="48" t="s">
        <v>91</v>
      </c>
    </row>
    <row r="56" spans="17:17" ht="14.25" x14ac:dyDescent="0.2">
      <c r="Q56" s="48" t="s">
        <v>92</v>
      </c>
    </row>
    <row r="57" spans="17:17" ht="14.25" x14ac:dyDescent="0.2">
      <c r="Q57" s="48" t="s">
        <v>93</v>
      </c>
    </row>
    <row r="59" spans="17:17" x14ac:dyDescent="0.25">
      <c r="Q59" s="51">
        <v>32</v>
      </c>
    </row>
    <row r="60" spans="17:17" x14ac:dyDescent="0.25">
      <c r="Q60" s="51">
        <v>30</v>
      </c>
    </row>
  </sheetData>
  <sheetProtection algorithmName="SHA-512" hashValue="oDirgidlNty8P3OU8mW0ZigEqmwz7DkcASHVAU0Vykak+pIyuKBoDDveNmtXflkhvFwUHcVUlZ8tORLh22vvPA==" saltValue="glJj/dTJyeZw6JgGnOBE8Q==" spinCount="100000" sheet="1" objects="1" scenarios="1"/>
  <mergeCells count="74">
    <mergeCell ref="N30:O30"/>
    <mergeCell ref="N31:O31"/>
    <mergeCell ref="N32:O32"/>
    <mergeCell ref="N33:O33"/>
    <mergeCell ref="N34:O34"/>
    <mergeCell ref="A31:M31"/>
    <mergeCell ref="A32:M32"/>
    <mergeCell ref="A33:M33"/>
    <mergeCell ref="N41:O41"/>
    <mergeCell ref="A39:M39"/>
    <mergeCell ref="A34:M34"/>
    <mergeCell ref="A35:M35"/>
    <mergeCell ref="A36:M36"/>
    <mergeCell ref="A37:M37"/>
    <mergeCell ref="A38:M38"/>
    <mergeCell ref="N35:O35"/>
    <mergeCell ref="N36:O36"/>
    <mergeCell ref="N37:O37"/>
    <mergeCell ref="N38:O38"/>
    <mergeCell ref="N39:O39"/>
    <mergeCell ref="A10:O10"/>
    <mergeCell ref="A11:O11"/>
    <mergeCell ref="A12:O12"/>
    <mergeCell ref="A13:O13"/>
    <mergeCell ref="A42:M42"/>
    <mergeCell ref="N42:O42"/>
    <mergeCell ref="A27:M27"/>
    <mergeCell ref="N27:O27"/>
    <mergeCell ref="A28:M28"/>
    <mergeCell ref="N28:O28"/>
    <mergeCell ref="A29:M29"/>
    <mergeCell ref="N29:O29"/>
    <mergeCell ref="A40:M40"/>
    <mergeCell ref="N40:O40"/>
    <mergeCell ref="A41:M41"/>
    <mergeCell ref="A30:M30"/>
    <mergeCell ref="L8:M8"/>
    <mergeCell ref="A7:D8"/>
    <mergeCell ref="E7:E8"/>
    <mergeCell ref="F7:G8"/>
    <mergeCell ref="H7:H8"/>
    <mergeCell ref="I7:I8"/>
    <mergeCell ref="A43:O43"/>
    <mergeCell ref="A1:C2"/>
    <mergeCell ref="D1:O1"/>
    <mergeCell ref="D2:O2"/>
    <mergeCell ref="A6:E6"/>
    <mergeCell ref="G6:O6"/>
    <mergeCell ref="A5:E5"/>
    <mergeCell ref="A3:E3"/>
    <mergeCell ref="F3:O3"/>
    <mergeCell ref="A4:E4"/>
    <mergeCell ref="F4:O4"/>
    <mergeCell ref="F5:O5"/>
    <mergeCell ref="A25:O25"/>
    <mergeCell ref="N8:O8"/>
    <mergeCell ref="J7:K8"/>
    <mergeCell ref="L7:O7"/>
    <mergeCell ref="A26:O26"/>
    <mergeCell ref="H23:K23"/>
    <mergeCell ref="A23:C24"/>
    <mergeCell ref="A9:D9"/>
    <mergeCell ref="F9:G9"/>
    <mergeCell ref="L23:O23"/>
    <mergeCell ref="D24:G24"/>
    <mergeCell ref="H24:K24"/>
    <mergeCell ref="L24:O24"/>
    <mergeCell ref="A14:B14"/>
    <mergeCell ref="A16:B16"/>
    <mergeCell ref="A17:B17"/>
    <mergeCell ref="A18:A22"/>
    <mergeCell ref="A15:B15"/>
    <mergeCell ref="D23:G23"/>
    <mergeCell ref="J9:O9"/>
  </mergeCells>
  <dataValidations count="1">
    <dataValidation type="list" allowBlank="1" showInputMessage="1" showErrorMessage="1" sqref="J9:O9">
      <formula1>$Q$45:$Q$57</formula1>
    </dataValidation>
  </dataValidations>
  <pageMargins left="0.39370078740157483" right="0.39370078740157483" top="0.35433070866141736" bottom="0.35433070866141736" header="0" footer="0"/>
  <pageSetup scale="73" orientation="portrait" horizontalDpi="4294967294" verticalDpi="4294967294" r:id="rId1"/>
  <headerFooter alignWithMargins="0">
    <oddFooter>&amp;R&amp;8Diseñado por: Wilson Andrade González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60"/>
  <sheetViews>
    <sheetView windowProtection="1" topLeftCell="A28" zoomScaleSheetLayoutView="72" workbookViewId="0">
      <selection activeCell="J47" sqref="J47"/>
    </sheetView>
  </sheetViews>
  <sheetFormatPr baseColWidth="10" defaultRowHeight="12.75" x14ac:dyDescent="0.25"/>
  <cols>
    <col min="1" max="1" width="3.85546875" style="3" customWidth="1"/>
    <col min="2" max="2" width="26.85546875" style="3" customWidth="1"/>
    <col min="3" max="14" width="9.28515625" style="3" customWidth="1"/>
    <col min="15" max="15" width="9.5703125" style="3" customWidth="1"/>
    <col min="16" max="16" width="7.28515625" style="3" customWidth="1"/>
    <col min="17" max="17" width="9.7109375" style="3" hidden="1" customWidth="1"/>
    <col min="18" max="18" width="7.28515625" style="3" hidden="1" customWidth="1"/>
    <col min="19" max="19" width="7.28515625" style="3" customWidth="1"/>
    <col min="20" max="20" width="11.42578125" style="3" customWidth="1"/>
    <col min="21" max="21" width="9" style="3" customWidth="1"/>
    <col min="22" max="22" width="5.7109375" style="3" customWidth="1"/>
    <col min="23" max="23" width="10.42578125" style="3" customWidth="1"/>
    <col min="24" max="24" width="10" style="3" customWidth="1"/>
    <col min="25" max="257" width="11.42578125" style="3"/>
    <col min="258" max="258" width="26.85546875" style="3" customWidth="1"/>
    <col min="259" max="267" width="7.7109375" style="3" customWidth="1"/>
    <col min="268" max="268" width="8.28515625" style="3" customWidth="1"/>
    <col min="269" max="271" width="7.7109375" style="3" customWidth="1"/>
    <col min="272" max="513" width="11.42578125" style="3"/>
    <col min="514" max="514" width="26.85546875" style="3" customWidth="1"/>
    <col min="515" max="523" width="7.7109375" style="3" customWidth="1"/>
    <col min="524" max="524" width="8.28515625" style="3" customWidth="1"/>
    <col min="525" max="527" width="7.7109375" style="3" customWidth="1"/>
    <col min="528" max="769" width="11.42578125" style="3"/>
    <col min="770" max="770" width="26.85546875" style="3" customWidth="1"/>
    <col min="771" max="779" width="7.7109375" style="3" customWidth="1"/>
    <col min="780" max="780" width="8.28515625" style="3" customWidth="1"/>
    <col min="781" max="783" width="7.7109375" style="3" customWidth="1"/>
    <col min="784" max="1025" width="11.42578125" style="3"/>
    <col min="1026" max="1026" width="26.85546875" style="3" customWidth="1"/>
    <col min="1027" max="1035" width="7.7109375" style="3" customWidth="1"/>
    <col min="1036" max="1036" width="8.28515625" style="3" customWidth="1"/>
    <col min="1037" max="1039" width="7.7109375" style="3" customWidth="1"/>
    <col min="1040" max="1281" width="11.42578125" style="3"/>
    <col min="1282" max="1282" width="26.85546875" style="3" customWidth="1"/>
    <col min="1283" max="1291" width="7.7109375" style="3" customWidth="1"/>
    <col min="1292" max="1292" width="8.28515625" style="3" customWidth="1"/>
    <col min="1293" max="1295" width="7.7109375" style="3" customWidth="1"/>
    <col min="1296" max="1537" width="11.42578125" style="3"/>
    <col min="1538" max="1538" width="26.85546875" style="3" customWidth="1"/>
    <col min="1539" max="1547" width="7.7109375" style="3" customWidth="1"/>
    <col min="1548" max="1548" width="8.28515625" style="3" customWidth="1"/>
    <col min="1549" max="1551" width="7.7109375" style="3" customWidth="1"/>
    <col min="1552" max="1793" width="11.42578125" style="3"/>
    <col min="1794" max="1794" width="26.85546875" style="3" customWidth="1"/>
    <col min="1795" max="1803" width="7.7109375" style="3" customWidth="1"/>
    <col min="1804" max="1804" width="8.28515625" style="3" customWidth="1"/>
    <col min="1805" max="1807" width="7.7109375" style="3" customWidth="1"/>
    <col min="1808" max="2049" width="11.42578125" style="3"/>
    <col min="2050" max="2050" width="26.85546875" style="3" customWidth="1"/>
    <col min="2051" max="2059" width="7.7109375" style="3" customWidth="1"/>
    <col min="2060" max="2060" width="8.28515625" style="3" customWidth="1"/>
    <col min="2061" max="2063" width="7.7109375" style="3" customWidth="1"/>
    <col min="2064" max="2305" width="11.42578125" style="3"/>
    <col min="2306" max="2306" width="26.85546875" style="3" customWidth="1"/>
    <col min="2307" max="2315" width="7.7109375" style="3" customWidth="1"/>
    <col min="2316" max="2316" width="8.28515625" style="3" customWidth="1"/>
    <col min="2317" max="2319" width="7.7109375" style="3" customWidth="1"/>
    <col min="2320" max="2561" width="11.42578125" style="3"/>
    <col min="2562" max="2562" width="26.85546875" style="3" customWidth="1"/>
    <col min="2563" max="2571" width="7.7109375" style="3" customWidth="1"/>
    <col min="2572" max="2572" width="8.28515625" style="3" customWidth="1"/>
    <col min="2573" max="2575" width="7.7109375" style="3" customWidth="1"/>
    <col min="2576" max="2817" width="11.42578125" style="3"/>
    <col min="2818" max="2818" width="26.85546875" style="3" customWidth="1"/>
    <col min="2819" max="2827" width="7.7109375" style="3" customWidth="1"/>
    <col min="2828" max="2828" width="8.28515625" style="3" customWidth="1"/>
    <col min="2829" max="2831" width="7.7109375" style="3" customWidth="1"/>
    <col min="2832" max="3073" width="11.42578125" style="3"/>
    <col min="3074" max="3074" width="26.85546875" style="3" customWidth="1"/>
    <col min="3075" max="3083" width="7.7109375" style="3" customWidth="1"/>
    <col min="3084" max="3084" width="8.28515625" style="3" customWidth="1"/>
    <col min="3085" max="3087" width="7.7109375" style="3" customWidth="1"/>
    <col min="3088" max="3329" width="11.42578125" style="3"/>
    <col min="3330" max="3330" width="26.85546875" style="3" customWidth="1"/>
    <col min="3331" max="3339" width="7.7109375" style="3" customWidth="1"/>
    <col min="3340" max="3340" width="8.28515625" style="3" customWidth="1"/>
    <col min="3341" max="3343" width="7.7109375" style="3" customWidth="1"/>
    <col min="3344" max="3585" width="11.42578125" style="3"/>
    <col min="3586" max="3586" width="26.85546875" style="3" customWidth="1"/>
    <col min="3587" max="3595" width="7.7109375" style="3" customWidth="1"/>
    <col min="3596" max="3596" width="8.28515625" style="3" customWidth="1"/>
    <col min="3597" max="3599" width="7.7109375" style="3" customWidth="1"/>
    <col min="3600" max="3841" width="11.42578125" style="3"/>
    <col min="3842" max="3842" width="26.85546875" style="3" customWidth="1"/>
    <col min="3843" max="3851" width="7.7109375" style="3" customWidth="1"/>
    <col min="3852" max="3852" width="8.28515625" style="3" customWidth="1"/>
    <col min="3853" max="3855" width="7.7109375" style="3" customWidth="1"/>
    <col min="3856" max="4097" width="11.42578125" style="3"/>
    <col min="4098" max="4098" width="26.85546875" style="3" customWidth="1"/>
    <col min="4099" max="4107" width="7.7109375" style="3" customWidth="1"/>
    <col min="4108" max="4108" width="8.28515625" style="3" customWidth="1"/>
    <col min="4109" max="4111" width="7.7109375" style="3" customWidth="1"/>
    <col min="4112" max="4353" width="11.42578125" style="3"/>
    <col min="4354" max="4354" width="26.85546875" style="3" customWidth="1"/>
    <col min="4355" max="4363" width="7.7109375" style="3" customWidth="1"/>
    <col min="4364" max="4364" width="8.28515625" style="3" customWidth="1"/>
    <col min="4365" max="4367" width="7.7109375" style="3" customWidth="1"/>
    <col min="4368" max="4609" width="11.42578125" style="3"/>
    <col min="4610" max="4610" width="26.85546875" style="3" customWidth="1"/>
    <col min="4611" max="4619" width="7.7109375" style="3" customWidth="1"/>
    <col min="4620" max="4620" width="8.28515625" style="3" customWidth="1"/>
    <col min="4621" max="4623" width="7.7109375" style="3" customWidth="1"/>
    <col min="4624" max="4865" width="11.42578125" style="3"/>
    <col min="4866" max="4866" width="26.85546875" style="3" customWidth="1"/>
    <col min="4867" max="4875" width="7.7109375" style="3" customWidth="1"/>
    <col min="4876" max="4876" width="8.28515625" style="3" customWidth="1"/>
    <col min="4877" max="4879" width="7.7109375" style="3" customWidth="1"/>
    <col min="4880" max="5121" width="11.42578125" style="3"/>
    <col min="5122" max="5122" width="26.85546875" style="3" customWidth="1"/>
    <col min="5123" max="5131" width="7.7109375" style="3" customWidth="1"/>
    <col min="5132" max="5132" width="8.28515625" style="3" customWidth="1"/>
    <col min="5133" max="5135" width="7.7109375" style="3" customWidth="1"/>
    <col min="5136" max="5377" width="11.42578125" style="3"/>
    <col min="5378" max="5378" width="26.85546875" style="3" customWidth="1"/>
    <col min="5379" max="5387" width="7.7109375" style="3" customWidth="1"/>
    <col min="5388" max="5388" width="8.28515625" style="3" customWidth="1"/>
    <col min="5389" max="5391" width="7.7109375" style="3" customWidth="1"/>
    <col min="5392" max="5633" width="11.42578125" style="3"/>
    <col min="5634" max="5634" width="26.85546875" style="3" customWidth="1"/>
    <col min="5635" max="5643" width="7.7109375" style="3" customWidth="1"/>
    <col min="5644" max="5644" width="8.28515625" style="3" customWidth="1"/>
    <col min="5645" max="5647" width="7.7109375" style="3" customWidth="1"/>
    <col min="5648" max="5889" width="11.42578125" style="3"/>
    <col min="5890" max="5890" width="26.85546875" style="3" customWidth="1"/>
    <col min="5891" max="5899" width="7.7109375" style="3" customWidth="1"/>
    <col min="5900" max="5900" width="8.28515625" style="3" customWidth="1"/>
    <col min="5901" max="5903" width="7.7109375" style="3" customWidth="1"/>
    <col min="5904" max="6145" width="11.42578125" style="3"/>
    <col min="6146" max="6146" width="26.85546875" style="3" customWidth="1"/>
    <col min="6147" max="6155" width="7.7109375" style="3" customWidth="1"/>
    <col min="6156" max="6156" width="8.28515625" style="3" customWidth="1"/>
    <col min="6157" max="6159" width="7.7109375" style="3" customWidth="1"/>
    <col min="6160" max="6401" width="11.42578125" style="3"/>
    <col min="6402" max="6402" width="26.85546875" style="3" customWidth="1"/>
    <col min="6403" max="6411" width="7.7109375" style="3" customWidth="1"/>
    <col min="6412" max="6412" width="8.28515625" style="3" customWidth="1"/>
    <col min="6413" max="6415" width="7.7109375" style="3" customWidth="1"/>
    <col min="6416" max="6657" width="11.42578125" style="3"/>
    <col min="6658" max="6658" width="26.85546875" style="3" customWidth="1"/>
    <col min="6659" max="6667" width="7.7109375" style="3" customWidth="1"/>
    <col min="6668" max="6668" width="8.28515625" style="3" customWidth="1"/>
    <col min="6669" max="6671" width="7.7109375" style="3" customWidth="1"/>
    <col min="6672" max="6913" width="11.42578125" style="3"/>
    <col min="6914" max="6914" width="26.85546875" style="3" customWidth="1"/>
    <col min="6915" max="6923" width="7.7109375" style="3" customWidth="1"/>
    <col min="6924" max="6924" width="8.28515625" style="3" customWidth="1"/>
    <col min="6925" max="6927" width="7.7109375" style="3" customWidth="1"/>
    <col min="6928" max="7169" width="11.42578125" style="3"/>
    <col min="7170" max="7170" width="26.85546875" style="3" customWidth="1"/>
    <col min="7171" max="7179" width="7.7109375" style="3" customWidth="1"/>
    <col min="7180" max="7180" width="8.28515625" style="3" customWidth="1"/>
    <col min="7181" max="7183" width="7.7109375" style="3" customWidth="1"/>
    <col min="7184" max="7425" width="11.42578125" style="3"/>
    <col min="7426" max="7426" width="26.85546875" style="3" customWidth="1"/>
    <col min="7427" max="7435" width="7.7109375" style="3" customWidth="1"/>
    <col min="7436" max="7436" width="8.28515625" style="3" customWidth="1"/>
    <col min="7437" max="7439" width="7.7109375" style="3" customWidth="1"/>
    <col min="7440" max="7681" width="11.42578125" style="3"/>
    <col min="7682" max="7682" width="26.85546875" style="3" customWidth="1"/>
    <col min="7683" max="7691" width="7.7109375" style="3" customWidth="1"/>
    <col min="7692" max="7692" width="8.28515625" style="3" customWidth="1"/>
    <col min="7693" max="7695" width="7.7109375" style="3" customWidth="1"/>
    <col min="7696" max="7937" width="11.42578125" style="3"/>
    <col min="7938" max="7938" width="26.85546875" style="3" customWidth="1"/>
    <col min="7939" max="7947" width="7.7109375" style="3" customWidth="1"/>
    <col min="7948" max="7948" width="8.28515625" style="3" customWidth="1"/>
    <col min="7949" max="7951" width="7.7109375" style="3" customWidth="1"/>
    <col min="7952" max="8193" width="11.42578125" style="3"/>
    <col min="8194" max="8194" width="26.85546875" style="3" customWidth="1"/>
    <col min="8195" max="8203" width="7.7109375" style="3" customWidth="1"/>
    <col min="8204" max="8204" width="8.28515625" style="3" customWidth="1"/>
    <col min="8205" max="8207" width="7.7109375" style="3" customWidth="1"/>
    <col min="8208" max="8449" width="11.42578125" style="3"/>
    <col min="8450" max="8450" width="26.85546875" style="3" customWidth="1"/>
    <col min="8451" max="8459" width="7.7109375" style="3" customWidth="1"/>
    <col min="8460" max="8460" width="8.28515625" style="3" customWidth="1"/>
    <col min="8461" max="8463" width="7.7109375" style="3" customWidth="1"/>
    <col min="8464" max="8705" width="11.42578125" style="3"/>
    <col min="8706" max="8706" width="26.85546875" style="3" customWidth="1"/>
    <col min="8707" max="8715" width="7.7109375" style="3" customWidth="1"/>
    <col min="8716" max="8716" width="8.28515625" style="3" customWidth="1"/>
    <col min="8717" max="8719" width="7.7109375" style="3" customWidth="1"/>
    <col min="8720" max="8961" width="11.42578125" style="3"/>
    <col min="8962" max="8962" width="26.85546875" style="3" customWidth="1"/>
    <col min="8963" max="8971" width="7.7109375" style="3" customWidth="1"/>
    <col min="8972" max="8972" width="8.28515625" style="3" customWidth="1"/>
    <col min="8973" max="8975" width="7.7109375" style="3" customWidth="1"/>
    <col min="8976" max="9217" width="11.42578125" style="3"/>
    <col min="9218" max="9218" width="26.85546875" style="3" customWidth="1"/>
    <col min="9219" max="9227" width="7.7109375" style="3" customWidth="1"/>
    <col min="9228" max="9228" width="8.28515625" style="3" customWidth="1"/>
    <col min="9229" max="9231" width="7.7109375" style="3" customWidth="1"/>
    <col min="9232" max="9473" width="11.42578125" style="3"/>
    <col min="9474" max="9474" width="26.85546875" style="3" customWidth="1"/>
    <col min="9475" max="9483" width="7.7109375" style="3" customWidth="1"/>
    <col min="9484" max="9484" width="8.28515625" style="3" customWidth="1"/>
    <col min="9485" max="9487" width="7.7109375" style="3" customWidth="1"/>
    <col min="9488" max="9729" width="11.42578125" style="3"/>
    <col min="9730" max="9730" width="26.85546875" style="3" customWidth="1"/>
    <col min="9731" max="9739" width="7.7109375" style="3" customWidth="1"/>
    <col min="9740" max="9740" width="8.28515625" style="3" customWidth="1"/>
    <col min="9741" max="9743" width="7.7109375" style="3" customWidth="1"/>
    <col min="9744" max="9985" width="11.42578125" style="3"/>
    <col min="9986" max="9986" width="26.85546875" style="3" customWidth="1"/>
    <col min="9987" max="9995" width="7.7109375" style="3" customWidth="1"/>
    <col min="9996" max="9996" width="8.28515625" style="3" customWidth="1"/>
    <col min="9997" max="9999" width="7.7109375" style="3" customWidth="1"/>
    <col min="10000" max="10241" width="11.42578125" style="3"/>
    <col min="10242" max="10242" width="26.85546875" style="3" customWidth="1"/>
    <col min="10243" max="10251" width="7.7109375" style="3" customWidth="1"/>
    <col min="10252" max="10252" width="8.28515625" style="3" customWidth="1"/>
    <col min="10253" max="10255" width="7.7109375" style="3" customWidth="1"/>
    <col min="10256" max="10497" width="11.42578125" style="3"/>
    <col min="10498" max="10498" width="26.85546875" style="3" customWidth="1"/>
    <col min="10499" max="10507" width="7.7109375" style="3" customWidth="1"/>
    <col min="10508" max="10508" width="8.28515625" style="3" customWidth="1"/>
    <col min="10509" max="10511" width="7.7109375" style="3" customWidth="1"/>
    <col min="10512" max="10753" width="11.42578125" style="3"/>
    <col min="10754" max="10754" width="26.85546875" style="3" customWidth="1"/>
    <col min="10755" max="10763" width="7.7109375" style="3" customWidth="1"/>
    <col min="10764" max="10764" width="8.28515625" style="3" customWidth="1"/>
    <col min="10765" max="10767" width="7.7109375" style="3" customWidth="1"/>
    <col min="10768" max="11009" width="11.42578125" style="3"/>
    <col min="11010" max="11010" width="26.85546875" style="3" customWidth="1"/>
    <col min="11011" max="11019" width="7.7109375" style="3" customWidth="1"/>
    <col min="11020" max="11020" width="8.28515625" style="3" customWidth="1"/>
    <col min="11021" max="11023" width="7.7109375" style="3" customWidth="1"/>
    <col min="11024" max="11265" width="11.42578125" style="3"/>
    <col min="11266" max="11266" width="26.85546875" style="3" customWidth="1"/>
    <col min="11267" max="11275" width="7.7109375" style="3" customWidth="1"/>
    <col min="11276" max="11276" width="8.28515625" style="3" customWidth="1"/>
    <col min="11277" max="11279" width="7.7109375" style="3" customWidth="1"/>
    <col min="11280" max="11521" width="11.42578125" style="3"/>
    <col min="11522" max="11522" width="26.85546875" style="3" customWidth="1"/>
    <col min="11523" max="11531" width="7.7109375" style="3" customWidth="1"/>
    <col min="11532" max="11532" width="8.28515625" style="3" customWidth="1"/>
    <col min="11533" max="11535" width="7.7109375" style="3" customWidth="1"/>
    <col min="11536" max="11777" width="11.42578125" style="3"/>
    <col min="11778" max="11778" width="26.85546875" style="3" customWidth="1"/>
    <col min="11779" max="11787" width="7.7109375" style="3" customWidth="1"/>
    <col min="11788" max="11788" width="8.28515625" style="3" customWidth="1"/>
    <col min="11789" max="11791" width="7.7109375" style="3" customWidth="1"/>
    <col min="11792" max="12033" width="11.42578125" style="3"/>
    <col min="12034" max="12034" width="26.85546875" style="3" customWidth="1"/>
    <col min="12035" max="12043" width="7.7109375" style="3" customWidth="1"/>
    <col min="12044" max="12044" width="8.28515625" style="3" customWidth="1"/>
    <col min="12045" max="12047" width="7.7109375" style="3" customWidth="1"/>
    <col min="12048" max="12289" width="11.42578125" style="3"/>
    <col min="12290" max="12290" width="26.85546875" style="3" customWidth="1"/>
    <col min="12291" max="12299" width="7.7109375" style="3" customWidth="1"/>
    <col min="12300" max="12300" width="8.28515625" style="3" customWidth="1"/>
    <col min="12301" max="12303" width="7.7109375" style="3" customWidth="1"/>
    <col min="12304" max="12545" width="11.42578125" style="3"/>
    <col min="12546" max="12546" width="26.85546875" style="3" customWidth="1"/>
    <col min="12547" max="12555" width="7.7109375" style="3" customWidth="1"/>
    <col min="12556" max="12556" width="8.28515625" style="3" customWidth="1"/>
    <col min="12557" max="12559" width="7.7109375" style="3" customWidth="1"/>
    <col min="12560" max="12801" width="11.42578125" style="3"/>
    <col min="12802" max="12802" width="26.85546875" style="3" customWidth="1"/>
    <col min="12803" max="12811" width="7.7109375" style="3" customWidth="1"/>
    <col min="12812" max="12812" width="8.28515625" style="3" customWidth="1"/>
    <col min="12813" max="12815" width="7.7109375" style="3" customWidth="1"/>
    <col min="12816" max="13057" width="11.42578125" style="3"/>
    <col min="13058" max="13058" width="26.85546875" style="3" customWidth="1"/>
    <col min="13059" max="13067" width="7.7109375" style="3" customWidth="1"/>
    <col min="13068" max="13068" width="8.28515625" style="3" customWidth="1"/>
    <col min="13069" max="13071" width="7.7109375" style="3" customWidth="1"/>
    <col min="13072" max="13313" width="11.42578125" style="3"/>
    <col min="13314" max="13314" width="26.85546875" style="3" customWidth="1"/>
    <col min="13315" max="13323" width="7.7109375" style="3" customWidth="1"/>
    <col min="13324" max="13324" width="8.28515625" style="3" customWidth="1"/>
    <col min="13325" max="13327" width="7.7109375" style="3" customWidth="1"/>
    <col min="13328" max="13569" width="11.42578125" style="3"/>
    <col min="13570" max="13570" width="26.85546875" style="3" customWidth="1"/>
    <col min="13571" max="13579" width="7.7109375" style="3" customWidth="1"/>
    <col min="13580" max="13580" width="8.28515625" style="3" customWidth="1"/>
    <col min="13581" max="13583" width="7.7109375" style="3" customWidth="1"/>
    <col min="13584" max="13825" width="11.42578125" style="3"/>
    <col min="13826" max="13826" width="26.85546875" style="3" customWidth="1"/>
    <col min="13827" max="13835" width="7.7109375" style="3" customWidth="1"/>
    <col min="13836" max="13836" width="8.28515625" style="3" customWidth="1"/>
    <col min="13837" max="13839" width="7.7109375" style="3" customWidth="1"/>
    <col min="13840" max="14081" width="11.42578125" style="3"/>
    <col min="14082" max="14082" width="26.85546875" style="3" customWidth="1"/>
    <col min="14083" max="14091" width="7.7109375" style="3" customWidth="1"/>
    <col min="14092" max="14092" width="8.28515625" style="3" customWidth="1"/>
    <col min="14093" max="14095" width="7.7109375" style="3" customWidth="1"/>
    <col min="14096" max="14337" width="11.42578125" style="3"/>
    <col min="14338" max="14338" width="26.85546875" style="3" customWidth="1"/>
    <col min="14339" max="14347" width="7.7109375" style="3" customWidth="1"/>
    <col min="14348" max="14348" width="8.28515625" style="3" customWidth="1"/>
    <col min="14349" max="14351" width="7.7109375" style="3" customWidth="1"/>
    <col min="14352" max="14593" width="11.42578125" style="3"/>
    <col min="14594" max="14594" width="26.85546875" style="3" customWidth="1"/>
    <col min="14595" max="14603" width="7.7109375" style="3" customWidth="1"/>
    <col min="14604" max="14604" width="8.28515625" style="3" customWidth="1"/>
    <col min="14605" max="14607" width="7.7109375" style="3" customWidth="1"/>
    <col min="14608" max="14849" width="11.42578125" style="3"/>
    <col min="14850" max="14850" width="26.85546875" style="3" customWidth="1"/>
    <col min="14851" max="14859" width="7.7109375" style="3" customWidth="1"/>
    <col min="14860" max="14860" width="8.28515625" style="3" customWidth="1"/>
    <col min="14861" max="14863" width="7.7109375" style="3" customWidth="1"/>
    <col min="14864" max="15105" width="11.42578125" style="3"/>
    <col min="15106" max="15106" width="26.85546875" style="3" customWidth="1"/>
    <col min="15107" max="15115" width="7.7109375" style="3" customWidth="1"/>
    <col min="15116" max="15116" width="8.28515625" style="3" customWidth="1"/>
    <col min="15117" max="15119" width="7.7109375" style="3" customWidth="1"/>
    <col min="15120" max="15361" width="11.42578125" style="3"/>
    <col min="15362" max="15362" width="26.85546875" style="3" customWidth="1"/>
    <col min="15363" max="15371" width="7.7109375" style="3" customWidth="1"/>
    <col min="15372" max="15372" width="8.28515625" style="3" customWidth="1"/>
    <col min="15373" max="15375" width="7.7109375" style="3" customWidth="1"/>
    <col min="15376" max="15617" width="11.42578125" style="3"/>
    <col min="15618" max="15618" width="26.85546875" style="3" customWidth="1"/>
    <col min="15619" max="15627" width="7.7109375" style="3" customWidth="1"/>
    <col min="15628" max="15628" width="8.28515625" style="3" customWidth="1"/>
    <col min="15629" max="15631" width="7.7109375" style="3" customWidth="1"/>
    <col min="15632" max="15873" width="11.42578125" style="3"/>
    <col min="15874" max="15874" width="26.85546875" style="3" customWidth="1"/>
    <col min="15875" max="15883" width="7.7109375" style="3" customWidth="1"/>
    <col min="15884" max="15884" width="8.28515625" style="3" customWidth="1"/>
    <col min="15885" max="15887" width="7.7109375" style="3" customWidth="1"/>
    <col min="15888" max="16129" width="11.42578125" style="3"/>
    <col min="16130" max="16130" width="26.85546875" style="3" customWidth="1"/>
    <col min="16131" max="16139" width="7.7109375" style="3" customWidth="1"/>
    <col min="16140" max="16140" width="8.28515625" style="3" customWidth="1"/>
    <col min="16141" max="16143" width="7.7109375" style="3" customWidth="1"/>
    <col min="16144" max="16384" width="11.42578125" style="3"/>
  </cols>
  <sheetData>
    <row r="1" spans="1:24" ht="20.25" customHeight="1" x14ac:dyDescent="0.25">
      <c r="A1" s="247"/>
      <c r="B1" s="248"/>
      <c r="C1" s="249"/>
      <c r="D1" s="243" t="s">
        <v>20</v>
      </c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4"/>
    </row>
    <row r="2" spans="1:24" ht="15.75" customHeight="1" thickBot="1" x14ac:dyDescent="0.3">
      <c r="A2" s="250"/>
      <c r="B2" s="251"/>
      <c r="C2" s="252"/>
      <c r="D2" s="245" t="s">
        <v>67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6"/>
    </row>
    <row r="3" spans="1:24" ht="13.5" customHeight="1" x14ac:dyDescent="0.25">
      <c r="A3" s="253" t="s">
        <v>0</v>
      </c>
      <c r="B3" s="254"/>
      <c r="C3" s="254"/>
      <c r="D3" s="254"/>
      <c r="E3" s="254"/>
      <c r="F3" s="254" t="str">
        <f>'SET SP Nataga'!J3</f>
        <v>GESTIÓN DE SERVICIOS PÚBLICOS - NATAGA</v>
      </c>
      <c r="G3" s="254"/>
      <c r="H3" s="254"/>
      <c r="I3" s="254"/>
      <c r="J3" s="254"/>
      <c r="K3" s="254"/>
      <c r="L3" s="254"/>
      <c r="M3" s="254"/>
      <c r="N3" s="254"/>
      <c r="O3" s="255"/>
    </row>
    <row r="4" spans="1:24" ht="15.75" customHeight="1" x14ac:dyDescent="0.25">
      <c r="A4" s="235" t="s">
        <v>1</v>
      </c>
      <c r="B4" s="236"/>
      <c r="C4" s="236"/>
      <c r="D4" s="236"/>
      <c r="E4" s="236"/>
      <c r="F4" s="256" t="str">
        <f>'SET SP Nataga'!$B9</f>
        <v>Ejecución de inversiones</v>
      </c>
      <c r="G4" s="256"/>
      <c r="H4" s="256"/>
      <c r="I4" s="256"/>
      <c r="J4" s="256"/>
      <c r="K4" s="256"/>
      <c r="L4" s="256"/>
      <c r="M4" s="256"/>
      <c r="N4" s="256"/>
      <c r="O4" s="277"/>
    </row>
    <row r="5" spans="1:24" ht="15.75" customHeight="1" x14ac:dyDescent="0.25">
      <c r="A5" s="235" t="s">
        <v>55</v>
      </c>
      <c r="B5" s="236"/>
      <c r="C5" s="236"/>
      <c r="D5" s="236"/>
      <c r="E5" s="236"/>
      <c r="F5" s="238" t="str">
        <f>'SET SP Nataga'!F9</f>
        <v xml:space="preserve">Eficiencia </v>
      </c>
      <c r="G5" s="239"/>
      <c r="H5" s="239"/>
      <c r="I5" s="239"/>
      <c r="J5" s="239"/>
      <c r="K5" s="239"/>
      <c r="L5" s="239"/>
      <c r="M5" s="239"/>
      <c r="N5" s="239"/>
      <c r="O5" s="240"/>
    </row>
    <row r="6" spans="1:24" ht="17.25" customHeight="1" thickBot="1" x14ac:dyDescent="0.3">
      <c r="A6" s="259" t="s">
        <v>21</v>
      </c>
      <c r="B6" s="260"/>
      <c r="C6" s="260"/>
      <c r="D6" s="260"/>
      <c r="E6" s="260"/>
      <c r="F6" s="26" t="s">
        <v>94</v>
      </c>
      <c r="G6" s="261" t="str">
        <f>'SET SP Nataga'!A9</f>
        <v>IN04</v>
      </c>
      <c r="H6" s="261"/>
      <c r="I6" s="261"/>
      <c r="J6" s="261"/>
      <c r="K6" s="261"/>
      <c r="L6" s="261"/>
      <c r="M6" s="261"/>
      <c r="N6" s="261"/>
      <c r="O6" s="276"/>
    </row>
    <row r="7" spans="1:24" ht="12.75" customHeight="1" x14ac:dyDescent="0.25">
      <c r="A7" s="264" t="s">
        <v>22</v>
      </c>
      <c r="B7" s="265"/>
      <c r="C7" s="265"/>
      <c r="D7" s="265"/>
      <c r="E7" s="230" t="s">
        <v>23</v>
      </c>
      <c r="F7" s="230" t="s">
        <v>24</v>
      </c>
      <c r="G7" s="230"/>
      <c r="H7" s="230" t="s">
        <v>25</v>
      </c>
      <c r="I7" s="230" t="s">
        <v>26</v>
      </c>
      <c r="J7" s="230" t="s">
        <v>27</v>
      </c>
      <c r="K7" s="230"/>
      <c r="L7" s="232" t="s">
        <v>28</v>
      </c>
      <c r="M7" s="232"/>
      <c r="N7" s="232"/>
      <c r="O7" s="233"/>
    </row>
    <row r="8" spans="1:24" ht="46.5" customHeight="1" x14ac:dyDescent="0.25">
      <c r="A8" s="266"/>
      <c r="B8" s="234"/>
      <c r="C8" s="234"/>
      <c r="D8" s="234"/>
      <c r="E8" s="231"/>
      <c r="F8" s="231"/>
      <c r="G8" s="231"/>
      <c r="H8" s="231"/>
      <c r="I8" s="231"/>
      <c r="J8" s="231"/>
      <c r="K8" s="231"/>
      <c r="L8" s="234" t="s">
        <v>29</v>
      </c>
      <c r="M8" s="234"/>
      <c r="N8" s="234" t="s">
        <v>30</v>
      </c>
      <c r="O8" s="237"/>
    </row>
    <row r="9" spans="1:24" ht="38.25" customHeight="1" thickBot="1" x14ac:dyDescent="0.3">
      <c r="A9" s="206" t="str">
        <f>'SET SP Nataga'!$C9</f>
        <v>Realizar el seguimiento a la ejecución de la inversión establecida para la vigencia fiscal respectiva.</v>
      </c>
      <c r="B9" s="207"/>
      <c r="C9" s="207"/>
      <c r="D9" s="207"/>
      <c r="E9" s="17" t="s">
        <v>35</v>
      </c>
      <c r="F9" s="207" t="str">
        <f>'SET SP Nataga'!$D9</f>
        <v xml:space="preserve">(Inversión realizada / Inversión presupuestada) x 100% </v>
      </c>
      <c r="G9" s="207"/>
      <c r="H9" s="38">
        <f>$O16</f>
        <v>0</v>
      </c>
      <c r="I9" s="36" t="str">
        <f>'SET SP Nataga'!$E9</f>
        <v>Trimestral</v>
      </c>
      <c r="J9" s="208" t="s">
        <v>89</v>
      </c>
      <c r="K9" s="209"/>
      <c r="L9" s="209"/>
      <c r="M9" s="209"/>
      <c r="N9" s="209"/>
      <c r="O9" s="210"/>
    </row>
    <row r="10" spans="1:24" ht="13.5" customHeight="1" x14ac:dyDescent="0.25">
      <c r="A10" s="216" t="s">
        <v>38</v>
      </c>
      <c r="B10" s="217"/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8"/>
    </row>
    <row r="11" spans="1:24" ht="21.75" customHeight="1" thickBot="1" x14ac:dyDescent="0.3">
      <c r="A11" s="219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1"/>
    </row>
    <row r="12" spans="1:24" ht="15" customHeight="1" thickBot="1" x14ac:dyDescent="0.3">
      <c r="A12" s="222" t="s">
        <v>31</v>
      </c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4"/>
      <c r="V12" s="9"/>
      <c r="W12" s="35"/>
      <c r="X12" s="35"/>
    </row>
    <row r="13" spans="1:24" ht="16.5" customHeight="1" x14ac:dyDescent="0.25">
      <c r="A13" s="225" t="s">
        <v>273</v>
      </c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7"/>
      <c r="V13" s="9"/>
      <c r="W13" s="10"/>
      <c r="X13" s="10"/>
    </row>
    <row r="14" spans="1:24" ht="16.5" customHeight="1" x14ac:dyDescent="0.25">
      <c r="A14" s="228" t="s">
        <v>32</v>
      </c>
      <c r="B14" s="229"/>
      <c r="C14" s="135" t="s">
        <v>8</v>
      </c>
      <c r="D14" s="135" t="s">
        <v>9</v>
      </c>
      <c r="E14" s="135" t="s">
        <v>10</v>
      </c>
      <c r="F14" s="135" t="s">
        <v>11</v>
      </c>
      <c r="G14" s="135" t="s">
        <v>12</v>
      </c>
      <c r="H14" s="135" t="s">
        <v>13</v>
      </c>
      <c r="I14" s="135" t="s">
        <v>14</v>
      </c>
      <c r="J14" s="135" t="s">
        <v>15</v>
      </c>
      <c r="K14" s="135" t="s">
        <v>16</v>
      </c>
      <c r="L14" s="135" t="s">
        <v>17</v>
      </c>
      <c r="M14" s="135" t="s">
        <v>18</v>
      </c>
      <c r="N14" s="135" t="s">
        <v>19</v>
      </c>
      <c r="O14" s="6" t="s">
        <v>33</v>
      </c>
      <c r="V14" s="9"/>
      <c r="W14" s="10"/>
      <c r="X14" s="10"/>
    </row>
    <row r="15" spans="1:24" ht="16.5" customHeight="1" x14ac:dyDescent="0.25">
      <c r="A15" s="183" t="s">
        <v>39</v>
      </c>
      <c r="B15" s="184"/>
      <c r="C15" s="139">
        <f t="shared" ref="C15:N15" si="0">$O$15</f>
        <v>0</v>
      </c>
      <c r="D15" s="139">
        <f t="shared" si="0"/>
        <v>0</v>
      </c>
      <c r="E15" s="139">
        <f t="shared" si="0"/>
        <v>0</v>
      </c>
      <c r="F15" s="139">
        <f t="shared" si="0"/>
        <v>0</v>
      </c>
      <c r="G15" s="139">
        <f t="shared" si="0"/>
        <v>0</v>
      </c>
      <c r="H15" s="139">
        <f t="shared" si="0"/>
        <v>0</v>
      </c>
      <c r="I15" s="139">
        <f t="shared" si="0"/>
        <v>0</v>
      </c>
      <c r="J15" s="139">
        <f t="shared" si="0"/>
        <v>0</v>
      </c>
      <c r="K15" s="139">
        <f t="shared" si="0"/>
        <v>0</v>
      </c>
      <c r="L15" s="139">
        <f t="shared" si="0"/>
        <v>0</v>
      </c>
      <c r="M15" s="139">
        <f t="shared" si="0"/>
        <v>0</v>
      </c>
      <c r="N15" s="139">
        <f t="shared" si="0"/>
        <v>0</v>
      </c>
      <c r="O15" s="144">
        <f>'SET SP Nataga'!J9</f>
        <v>0</v>
      </c>
      <c r="V15" s="9"/>
      <c r="W15" s="10"/>
      <c r="X15" s="10"/>
    </row>
    <row r="16" spans="1:24" ht="17.25" customHeight="1" x14ac:dyDescent="0.25">
      <c r="A16" s="183" t="s">
        <v>272</v>
      </c>
      <c r="B16" s="184"/>
      <c r="C16" s="139">
        <f t="shared" ref="C16:N16" si="1">$O$16</f>
        <v>0</v>
      </c>
      <c r="D16" s="139">
        <f t="shared" si="1"/>
        <v>0</v>
      </c>
      <c r="E16" s="139">
        <f t="shared" si="1"/>
        <v>0</v>
      </c>
      <c r="F16" s="139">
        <f t="shared" si="1"/>
        <v>0</v>
      </c>
      <c r="G16" s="139">
        <f t="shared" si="1"/>
        <v>0</v>
      </c>
      <c r="H16" s="139">
        <f t="shared" si="1"/>
        <v>0</v>
      </c>
      <c r="I16" s="139">
        <f t="shared" si="1"/>
        <v>0</v>
      </c>
      <c r="J16" s="139">
        <f t="shared" si="1"/>
        <v>0</v>
      </c>
      <c r="K16" s="139">
        <f t="shared" si="1"/>
        <v>0</v>
      </c>
      <c r="L16" s="139">
        <f t="shared" si="1"/>
        <v>0</v>
      </c>
      <c r="M16" s="139">
        <f t="shared" si="1"/>
        <v>0</v>
      </c>
      <c r="N16" s="139">
        <f t="shared" si="1"/>
        <v>0</v>
      </c>
      <c r="O16" s="144">
        <f>'SET SP Nataga'!K9</f>
        <v>0</v>
      </c>
      <c r="V16" s="9"/>
      <c r="W16" s="10"/>
      <c r="X16" s="10"/>
    </row>
    <row r="17" spans="1:24" ht="17.25" customHeight="1" x14ac:dyDescent="0.25">
      <c r="A17" s="187" t="s">
        <v>263</v>
      </c>
      <c r="B17" s="188"/>
      <c r="C17" s="12" t="str">
        <f t="shared" ref="C17:O17" si="2">IF((C20),C19/C20,"-")</f>
        <v>-</v>
      </c>
      <c r="D17" s="12" t="str">
        <f t="shared" si="2"/>
        <v>-</v>
      </c>
      <c r="E17" s="12" t="str">
        <f t="shared" si="2"/>
        <v>-</v>
      </c>
      <c r="F17" s="12" t="str">
        <f t="shared" si="2"/>
        <v>-</v>
      </c>
      <c r="G17" s="12" t="str">
        <f t="shared" si="2"/>
        <v>-</v>
      </c>
      <c r="H17" s="12" t="str">
        <f t="shared" si="2"/>
        <v>-</v>
      </c>
      <c r="I17" s="12" t="str">
        <f t="shared" si="2"/>
        <v>-</v>
      </c>
      <c r="J17" s="12" t="str">
        <f t="shared" si="2"/>
        <v>-</v>
      </c>
      <c r="K17" s="12" t="str">
        <f t="shared" si="2"/>
        <v>-</v>
      </c>
      <c r="L17" s="12" t="str">
        <f t="shared" si="2"/>
        <v>-</v>
      </c>
      <c r="M17" s="12" t="str">
        <f t="shared" si="2"/>
        <v>-</v>
      </c>
      <c r="N17" s="12" t="str">
        <f t="shared" si="2"/>
        <v>-</v>
      </c>
      <c r="O17" s="13" t="str">
        <f t="shared" si="2"/>
        <v>-</v>
      </c>
      <c r="V17" s="9"/>
      <c r="W17" s="10"/>
      <c r="X17" s="10"/>
    </row>
    <row r="18" spans="1:24" ht="17.25" customHeight="1" x14ac:dyDescent="0.25">
      <c r="A18" s="189" t="s">
        <v>37</v>
      </c>
      <c r="B18" s="39" t="s">
        <v>172</v>
      </c>
      <c r="C18" s="4">
        <v>0</v>
      </c>
      <c r="D18" s="4">
        <v>0</v>
      </c>
      <c r="E18" s="4">
        <v>0</v>
      </c>
      <c r="F18" s="4">
        <v>0</v>
      </c>
      <c r="G18" s="62">
        <v>0</v>
      </c>
      <c r="H18" s="62">
        <v>0</v>
      </c>
      <c r="I18" s="62">
        <v>0</v>
      </c>
      <c r="J18" s="62">
        <v>0</v>
      </c>
      <c r="K18" s="62">
        <v>0</v>
      </c>
      <c r="L18" s="62">
        <v>0</v>
      </c>
      <c r="M18" s="62">
        <v>0</v>
      </c>
      <c r="N18" s="62">
        <v>0</v>
      </c>
      <c r="O18" s="64">
        <f>SUM(C18:N18)</f>
        <v>0</v>
      </c>
      <c r="V18" s="9"/>
      <c r="W18" s="10"/>
      <c r="X18" s="10"/>
    </row>
    <row r="19" spans="1:24" ht="17.25" customHeight="1" x14ac:dyDescent="0.25">
      <c r="A19" s="189"/>
      <c r="B19" s="39" t="s">
        <v>171</v>
      </c>
      <c r="C19" s="62">
        <f>C18</f>
        <v>0</v>
      </c>
      <c r="D19" s="62">
        <f>C19+D18</f>
        <v>0</v>
      </c>
      <c r="E19" s="62">
        <f t="shared" ref="E19:J19" si="3">D19+E18</f>
        <v>0</v>
      </c>
      <c r="F19" s="62">
        <f t="shared" si="3"/>
        <v>0</v>
      </c>
      <c r="G19" s="62">
        <f t="shared" si="3"/>
        <v>0</v>
      </c>
      <c r="H19" s="62">
        <f t="shared" si="3"/>
        <v>0</v>
      </c>
      <c r="I19" s="62">
        <f t="shared" si="3"/>
        <v>0</v>
      </c>
      <c r="J19" s="62">
        <f t="shared" si="3"/>
        <v>0</v>
      </c>
      <c r="K19" s="62">
        <f t="shared" ref="K19" si="4">J19+K18</f>
        <v>0</v>
      </c>
      <c r="L19" s="62">
        <f t="shared" ref="L19" si="5">K19+L18</f>
        <v>0</v>
      </c>
      <c r="M19" s="62">
        <f t="shared" ref="M19" si="6">L19+M18</f>
        <v>0</v>
      </c>
      <c r="N19" s="62">
        <f t="shared" ref="N19" si="7">M19+N18</f>
        <v>0</v>
      </c>
      <c r="O19" s="64">
        <f>MAX(C19:N19)</f>
        <v>0</v>
      </c>
      <c r="V19" s="9"/>
      <c r="W19" s="10"/>
      <c r="X19" s="10"/>
    </row>
    <row r="20" spans="1:24" ht="13.5" customHeight="1" x14ac:dyDescent="0.25">
      <c r="A20" s="189"/>
      <c r="B20" s="39" t="s">
        <v>134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4">
        <f>MAX(C20:N20)</f>
        <v>0</v>
      </c>
      <c r="V20" s="9"/>
      <c r="W20" s="10"/>
      <c r="X20" s="10"/>
    </row>
    <row r="21" spans="1:24" ht="17.25" customHeight="1" x14ac:dyDescent="0.25">
      <c r="A21" s="189"/>
      <c r="B21" s="13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19"/>
      <c r="V21" s="9"/>
      <c r="W21" s="10"/>
      <c r="X21" s="10"/>
    </row>
    <row r="22" spans="1:24" ht="18" customHeight="1" thickBot="1" x14ac:dyDescent="0.3">
      <c r="A22" s="190"/>
      <c r="B22" s="136" t="s">
        <v>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20"/>
      <c r="V22" s="9"/>
      <c r="W22" s="10"/>
      <c r="X22" s="10"/>
    </row>
    <row r="23" spans="1:24" ht="14.25" customHeight="1" thickBot="1" x14ac:dyDescent="0.3">
      <c r="A23" s="191" t="s">
        <v>34</v>
      </c>
      <c r="B23" s="192"/>
      <c r="C23" s="193"/>
      <c r="D23" s="180" t="str">
        <f>'SET SP Nataga'!$G9</f>
        <v>Entre 80% y 100%</v>
      </c>
      <c r="E23" s="181"/>
      <c r="F23" s="181"/>
      <c r="G23" s="182"/>
      <c r="H23" s="180" t="str">
        <f>'SET SP Nataga'!$H9</f>
        <v>Entre 60% y 79%</v>
      </c>
      <c r="I23" s="181"/>
      <c r="J23" s="181"/>
      <c r="K23" s="182"/>
      <c r="L23" s="180" t="str">
        <f>'SET SP Nataga'!$I9</f>
        <v>Menor al 59%</v>
      </c>
      <c r="M23" s="185"/>
      <c r="N23" s="185"/>
      <c r="O23" s="186"/>
      <c r="V23" s="9"/>
      <c r="W23" s="10"/>
      <c r="X23" s="10"/>
    </row>
    <row r="24" spans="1:24" ht="33" customHeight="1" thickBot="1" x14ac:dyDescent="0.3">
      <c r="A24" s="194"/>
      <c r="B24" s="195"/>
      <c r="C24" s="195"/>
      <c r="D24" s="196" t="s">
        <v>7</v>
      </c>
      <c r="E24" s="196"/>
      <c r="F24" s="196"/>
      <c r="G24" s="196"/>
      <c r="H24" s="197" t="s">
        <v>61</v>
      </c>
      <c r="I24" s="197"/>
      <c r="J24" s="197"/>
      <c r="K24" s="197"/>
      <c r="L24" s="211" t="s">
        <v>62</v>
      </c>
      <c r="M24" s="211"/>
      <c r="N24" s="211"/>
      <c r="O24" s="212"/>
      <c r="V24" s="9"/>
      <c r="W24" s="10"/>
      <c r="X24" s="10"/>
    </row>
    <row r="25" spans="1:24" ht="15.75" customHeight="1" thickBot="1" x14ac:dyDescent="0.3">
      <c r="A25" s="213" t="s">
        <v>36</v>
      </c>
      <c r="B25" s="214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5"/>
      <c r="V25" s="9"/>
      <c r="W25" s="10"/>
      <c r="X25" s="10"/>
    </row>
    <row r="26" spans="1:24" ht="264.75" customHeight="1" thickBot="1" x14ac:dyDescent="0.3">
      <c r="A26" s="177"/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9"/>
      <c r="V26" s="9"/>
    </row>
    <row r="27" spans="1:24" ht="15" customHeight="1" x14ac:dyDescent="0.25">
      <c r="A27" s="198" t="s">
        <v>58</v>
      </c>
      <c r="B27" s="199"/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99"/>
      <c r="N27" s="200" t="s">
        <v>60</v>
      </c>
      <c r="O27" s="201"/>
    </row>
    <row r="28" spans="1:24" ht="15" x14ac:dyDescent="0.25">
      <c r="A28" s="202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41">
        <v>43101</v>
      </c>
      <c r="O28" s="242"/>
    </row>
    <row r="29" spans="1:24" ht="15" x14ac:dyDescent="0.25">
      <c r="A29" s="202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41">
        <v>43132</v>
      </c>
      <c r="O29" s="242"/>
    </row>
    <row r="30" spans="1:24" ht="15" x14ac:dyDescent="0.25">
      <c r="A30" s="202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41">
        <v>43160</v>
      </c>
      <c r="O30" s="242"/>
    </row>
    <row r="31" spans="1:24" ht="15" x14ac:dyDescent="0.25">
      <c r="A31" s="202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41">
        <v>43191</v>
      </c>
      <c r="O31" s="242"/>
    </row>
    <row r="32" spans="1:24" ht="15" x14ac:dyDescent="0.25">
      <c r="A32" s="202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41">
        <v>43221</v>
      </c>
      <c r="O32" s="242"/>
    </row>
    <row r="33" spans="1:17" ht="15" x14ac:dyDescent="0.25">
      <c r="A33" s="202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41">
        <v>43252</v>
      </c>
      <c r="O33" s="242"/>
    </row>
    <row r="34" spans="1:17" ht="15" x14ac:dyDescent="0.25">
      <c r="A34" s="202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41">
        <v>43282</v>
      </c>
      <c r="O34" s="242"/>
    </row>
    <row r="35" spans="1:17" ht="15" x14ac:dyDescent="0.25">
      <c r="A35" s="202"/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41">
        <v>43313</v>
      </c>
      <c r="O35" s="242"/>
    </row>
    <row r="36" spans="1:17" ht="15" x14ac:dyDescent="0.25">
      <c r="A36" s="202"/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41">
        <v>43344</v>
      </c>
      <c r="O36" s="242"/>
    </row>
    <row r="37" spans="1:17" ht="15" x14ac:dyDescent="0.25">
      <c r="A37" s="202"/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41">
        <v>43374</v>
      </c>
      <c r="O37" s="242"/>
    </row>
    <row r="38" spans="1:17" ht="15" x14ac:dyDescent="0.25">
      <c r="A38" s="202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41">
        <v>43405</v>
      </c>
      <c r="O38" s="242"/>
    </row>
    <row r="39" spans="1:17" ht="15.75" thickBot="1" x14ac:dyDescent="0.3">
      <c r="A39" s="202"/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41">
        <v>43435</v>
      </c>
      <c r="O39" s="242"/>
    </row>
    <row r="40" spans="1:17" ht="19.5" customHeight="1" x14ac:dyDescent="0.25">
      <c r="A40" s="198" t="s">
        <v>59</v>
      </c>
      <c r="B40" s="199"/>
      <c r="C40" s="199"/>
      <c r="D40" s="199"/>
      <c r="E40" s="199"/>
      <c r="F40" s="199"/>
      <c r="G40" s="199"/>
      <c r="H40" s="199"/>
      <c r="I40" s="199"/>
      <c r="J40" s="199"/>
      <c r="K40" s="199"/>
      <c r="L40" s="199"/>
      <c r="M40" s="199"/>
      <c r="N40" s="200" t="s">
        <v>60</v>
      </c>
      <c r="O40" s="201"/>
    </row>
    <row r="41" spans="1:17" ht="14.25" customHeight="1" x14ac:dyDescent="0.25">
      <c r="A41" s="202"/>
      <c r="B41" s="203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4"/>
      <c r="O41" s="205"/>
    </row>
    <row r="42" spans="1:17" ht="15.75" thickBot="1" x14ac:dyDescent="0.3">
      <c r="A42" s="273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5"/>
    </row>
    <row r="43" spans="1:17" ht="5.25" customHeight="1" x14ac:dyDescent="0.25">
      <c r="A43" s="176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</row>
    <row r="45" spans="1:17" ht="14.25" x14ac:dyDescent="0.2">
      <c r="Q45" s="48" t="s">
        <v>81</v>
      </c>
    </row>
    <row r="46" spans="1:17" ht="14.25" x14ac:dyDescent="0.2">
      <c r="Q46" s="48" t="s">
        <v>82</v>
      </c>
    </row>
    <row r="47" spans="1:17" ht="14.25" x14ac:dyDescent="0.2">
      <c r="Q47" s="48" t="s">
        <v>83</v>
      </c>
    </row>
    <row r="48" spans="1:17" ht="14.25" x14ac:dyDescent="0.2">
      <c r="Q48" s="48" t="s">
        <v>84</v>
      </c>
    </row>
    <row r="49" spans="17:17" ht="14.25" x14ac:dyDescent="0.2">
      <c r="Q49" s="48" t="s">
        <v>85</v>
      </c>
    </row>
    <row r="50" spans="17:17" ht="14.25" x14ac:dyDescent="0.2">
      <c r="Q50" s="48" t="s">
        <v>86</v>
      </c>
    </row>
    <row r="51" spans="17:17" ht="14.25" x14ac:dyDescent="0.2">
      <c r="Q51" s="48" t="s">
        <v>87</v>
      </c>
    </row>
    <row r="52" spans="17:17" ht="14.25" x14ac:dyDescent="0.2">
      <c r="Q52" s="48" t="s">
        <v>88</v>
      </c>
    </row>
    <row r="53" spans="17:17" ht="14.25" x14ac:dyDescent="0.2">
      <c r="Q53" s="48" t="s">
        <v>89</v>
      </c>
    </row>
    <row r="54" spans="17:17" ht="14.25" x14ac:dyDescent="0.2">
      <c r="Q54" s="48" t="s">
        <v>90</v>
      </c>
    </row>
    <row r="55" spans="17:17" ht="14.25" x14ac:dyDescent="0.2">
      <c r="Q55" s="48" t="s">
        <v>91</v>
      </c>
    </row>
    <row r="56" spans="17:17" ht="14.25" x14ac:dyDescent="0.2">
      <c r="Q56" s="48" t="s">
        <v>92</v>
      </c>
    </row>
    <row r="57" spans="17:17" ht="14.25" x14ac:dyDescent="0.2">
      <c r="Q57" s="48" t="s">
        <v>93</v>
      </c>
    </row>
    <row r="59" spans="17:17" x14ac:dyDescent="0.25">
      <c r="Q59" s="43">
        <v>0.92</v>
      </c>
    </row>
    <row r="60" spans="17:17" x14ac:dyDescent="0.25">
      <c r="Q60" s="43">
        <v>1</v>
      </c>
    </row>
  </sheetData>
  <sheetProtection algorithmName="SHA-512" hashValue="DkYxlSZct91INUEnfe26kbqXrNICe5W6l136Lr0T16pWSn8cemBXwJGpld1onoTAoxK7+wZDZTET59h15WrtCw==" saltValue="RCBSMVY9cwldy7/ZqMUKkQ==" spinCount="100000" sheet="1" objects="1" scenarios="1"/>
  <mergeCells count="74"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N39:O39"/>
    <mergeCell ref="A30:M30"/>
    <mergeCell ref="A31:M31"/>
    <mergeCell ref="A32:M32"/>
    <mergeCell ref="A33:M33"/>
    <mergeCell ref="A39:M39"/>
    <mergeCell ref="A34:M34"/>
    <mergeCell ref="A35:M35"/>
    <mergeCell ref="A36:M36"/>
    <mergeCell ref="A37:M37"/>
    <mergeCell ref="A38:M38"/>
    <mergeCell ref="A10:O10"/>
    <mergeCell ref="A11:O11"/>
    <mergeCell ref="A12:O12"/>
    <mergeCell ref="A13:O13"/>
    <mergeCell ref="A42:M42"/>
    <mergeCell ref="N42:O42"/>
    <mergeCell ref="A27:M27"/>
    <mergeCell ref="N27:O27"/>
    <mergeCell ref="A28:M28"/>
    <mergeCell ref="N28:O28"/>
    <mergeCell ref="A29:M29"/>
    <mergeCell ref="N29:O29"/>
    <mergeCell ref="A40:M40"/>
    <mergeCell ref="N40:O40"/>
    <mergeCell ref="A41:M41"/>
    <mergeCell ref="N41:O41"/>
    <mergeCell ref="L8:M8"/>
    <mergeCell ref="A7:D8"/>
    <mergeCell ref="E7:E8"/>
    <mergeCell ref="F7:G8"/>
    <mergeCell ref="H7:H8"/>
    <mergeCell ref="I7:I8"/>
    <mergeCell ref="A43:O43"/>
    <mergeCell ref="A1:C2"/>
    <mergeCell ref="D1:O1"/>
    <mergeCell ref="D2:O2"/>
    <mergeCell ref="A6:E6"/>
    <mergeCell ref="G6:O6"/>
    <mergeCell ref="A5:E5"/>
    <mergeCell ref="A3:E3"/>
    <mergeCell ref="F3:O3"/>
    <mergeCell ref="A4:E4"/>
    <mergeCell ref="F4:O4"/>
    <mergeCell ref="F5:O5"/>
    <mergeCell ref="A25:O25"/>
    <mergeCell ref="N8:O8"/>
    <mergeCell ref="J7:K8"/>
    <mergeCell ref="L7:O7"/>
    <mergeCell ref="A26:O26"/>
    <mergeCell ref="H23:K23"/>
    <mergeCell ref="A23:C24"/>
    <mergeCell ref="A9:D9"/>
    <mergeCell ref="F9:G9"/>
    <mergeCell ref="L23:O23"/>
    <mergeCell ref="D24:G24"/>
    <mergeCell ref="H24:K24"/>
    <mergeCell ref="L24:O24"/>
    <mergeCell ref="A14:B14"/>
    <mergeCell ref="A16:B16"/>
    <mergeCell ref="A17:B17"/>
    <mergeCell ref="A18:A22"/>
    <mergeCell ref="A15:B15"/>
    <mergeCell ref="D23:G23"/>
    <mergeCell ref="J9:O9"/>
  </mergeCells>
  <dataValidations count="1">
    <dataValidation type="list" allowBlank="1" showInputMessage="1" showErrorMessage="1" sqref="J9:O9">
      <formula1>$Q$45:$Q$57</formula1>
    </dataValidation>
  </dataValidations>
  <pageMargins left="0.39370078740157483" right="0.39370078740157483" top="0.35433070866141736" bottom="0.35433070866141736" header="0" footer="0"/>
  <pageSetup scale="73" orientation="portrait" horizontalDpi="4294967294" verticalDpi="4294967294" r:id="rId1"/>
  <headerFooter alignWithMargins="0">
    <oddFooter>&amp;R&amp;8Diseñado por: Wilson Andrade González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59"/>
  <sheetViews>
    <sheetView windowProtection="1" topLeftCell="A26" zoomScaleSheetLayoutView="72" workbookViewId="0">
      <selection activeCell="I46" sqref="I46"/>
    </sheetView>
  </sheetViews>
  <sheetFormatPr baseColWidth="10" defaultRowHeight="12.75" x14ac:dyDescent="0.25"/>
  <cols>
    <col min="1" max="1" width="3.85546875" style="3" customWidth="1"/>
    <col min="2" max="2" width="26.85546875" style="3" customWidth="1"/>
    <col min="3" max="11" width="7.7109375" style="3" customWidth="1"/>
    <col min="12" max="12" width="8.28515625" style="3" customWidth="1"/>
    <col min="13" max="15" width="7.7109375" style="3" customWidth="1"/>
    <col min="16" max="16" width="8.5703125" style="3" customWidth="1"/>
    <col min="17" max="18" width="11.42578125" style="3" hidden="1" customWidth="1"/>
    <col min="19" max="20" width="11.42578125" style="3" customWidth="1"/>
    <col min="21" max="21" width="9" style="3" customWidth="1"/>
    <col min="22" max="22" width="5.7109375" style="3" customWidth="1"/>
    <col min="23" max="23" width="10.42578125" style="3" customWidth="1"/>
    <col min="24" max="24" width="10" style="3" customWidth="1"/>
    <col min="25" max="257" width="11.42578125" style="3"/>
    <col min="258" max="258" width="26.85546875" style="3" customWidth="1"/>
    <col min="259" max="267" width="7.7109375" style="3" customWidth="1"/>
    <col min="268" max="268" width="8.28515625" style="3" customWidth="1"/>
    <col min="269" max="271" width="7.7109375" style="3" customWidth="1"/>
    <col min="272" max="513" width="11.42578125" style="3"/>
    <col min="514" max="514" width="26.85546875" style="3" customWidth="1"/>
    <col min="515" max="523" width="7.7109375" style="3" customWidth="1"/>
    <col min="524" max="524" width="8.28515625" style="3" customWidth="1"/>
    <col min="525" max="527" width="7.7109375" style="3" customWidth="1"/>
    <col min="528" max="769" width="11.42578125" style="3"/>
    <col min="770" max="770" width="26.85546875" style="3" customWidth="1"/>
    <col min="771" max="779" width="7.7109375" style="3" customWidth="1"/>
    <col min="780" max="780" width="8.28515625" style="3" customWidth="1"/>
    <col min="781" max="783" width="7.7109375" style="3" customWidth="1"/>
    <col min="784" max="1025" width="11.42578125" style="3"/>
    <col min="1026" max="1026" width="26.85546875" style="3" customWidth="1"/>
    <col min="1027" max="1035" width="7.7109375" style="3" customWidth="1"/>
    <col min="1036" max="1036" width="8.28515625" style="3" customWidth="1"/>
    <col min="1037" max="1039" width="7.7109375" style="3" customWidth="1"/>
    <col min="1040" max="1281" width="11.42578125" style="3"/>
    <col min="1282" max="1282" width="26.85546875" style="3" customWidth="1"/>
    <col min="1283" max="1291" width="7.7109375" style="3" customWidth="1"/>
    <col min="1292" max="1292" width="8.28515625" style="3" customWidth="1"/>
    <col min="1293" max="1295" width="7.7109375" style="3" customWidth="1"/>
    <col min="1296" max="1537" width="11.42578125" style="3"/>
    <col min="1538" max="1538" width="26.85546875" style="3" customWidth="1"/>
    <col min="1539" max="1547" width="7.7109375" style="3" customWidth="1"/>
    <col min="1548" max="1548" width="8.28515625" style="3" customWidth="1"/>
    <col min="1549" max="1551" width="7.7109375" style="3" customWidth="1"/>
    <col min="1552" max="1793" width="11.42578125" style="3"/>
    <col min="1794" max="1794" width="26.85546875" style="3" customWidth="1"/>
    <col min="1795" max="1803" width="7.7109375" style="3" customWidth="1"/>
    <col min="1804" max="1804" width="8.28515625" style="3" customWidth="1"/>
    <col min="1805" max="1807" width="7.7109375" style="3" customWidth="1"/>
    <col min="1808" max="2049" width="11.42578125" style="3"/>
    <col min="2050" max="2050" width="26.85546875" style="3" customWidth="1"/>
    <col min="2051" max="2059" width="7.7109375" style="3" customWidth="1"/>
    <col min="2060" max="2060" width="8.28515625" style="3" customWidth="1"/>
    <col min="2061" max="2063" width="7.7109375" style="3" customWidth="1"/>
    <col min="2064" max="2305" width="11.42578125" style="3"/>
    <col min="2306" max="2306" width="26.85546875" style="3" customWidth="1"/>
    <col min="2307" max="2315" width="7.7109375" style="3" customWidth="1"/>
    <col min="2316" max="2316" width="8.28515625" style="3" customWidth="1"/>
    <col min="2317" max="2319" width="7.7109375" style="3" customWidth="1"/>
    <col min="2320" max="2561" width="11.42578125" style="3"/>
    <col min="2562" max="2562" width="26.85546875" style="3" customWidth="1"/>
    <col min="2563" max="2571" width="7.7109375" style="3" customWidth="1"/>
    <col min="2572" max="2572" width="8.28515625" style="3" customWidth="1"/>
    <col min="2573" max="2575" width="7.7109375" style="3" customWidth="1"/>
    <col min="2576" max="2817" width="11.42578125" style="3"/>
    <col min="2818" max="2818" width="26.85546875" style="3" customWidth="1"/>
    <col min="2819" max="2827" width="7.7109375" style="3" customWidth="1"/>
    <col min="2828" max="2828" width="8.28515625" style="3" customWidth="1"/>
    <col min="2829" max="2831" width="7.7109375" style="3" customWidth="1"/>
    <col min="2832" max="3073" width="11.42578125" style="3"/>
    <col min="3074" max="3074" width="26.85546875" style="3" customWidth="1"/>
    <col min="3075" max="3083" width="7.7109375" style="3" customWidth="1"/>
    <col min="3084" max="3084" width="8.28515625" style="3" customWidth="1"/>
    <col min="3085" max="3087" width="7.7109375" style="3" customWidth="1"/>
    <col min="3088" max="3329" width="11.42578125" style="3"/>
    <col min="3330" max="3330" width="26.85546875" style="3" customWidth="1"/>
    <col min="3331" max="3339" width="7.7109375" style="3" customWidth="1"/>
    <col min="3340" max="3340" width="8.28515625" style="3" customWidth="1"/>
    <col min="3341" max="3343" width="7.7109375" style="3" customWidth="1"/>
    <col min="3344" max="3585" width="11.42578125" style="3"/>
    <col min="3586" max="3586" width="26.85546875" style="3" customWidth="1"/>
    <col min="3587" max="3595" width="7.7109375" style="3" customWidth="1"/>
    <col min="3596" max="3596" width="8.28515625" style="3" customWidth="1"/>
    <col min="3597" max="3599" width="7.7109375" style="3" customWidth="1"/>
    <col min="3600" max="3841" width="11.42578125" style="3"/>
    <col min="3842" max="3842" width="26.85546875" style="3" customWidth="1"/>
    <col min="3843" max="3851" width="7.7109375" style="3" customWidth="1"/>
    <col min="3852" max="3852" width="8.28515625" style="3" customWidth="1"/>
    <col min="3853" max="3855" width="7.7109375" style="3" customWidth="1"/>
    <col min="3856" max="4097" width="11.42578125" style="3"/>
    <col min="4098" max="4098" width="26.85546875" style="3" customWidth="1"/>
    <col min="4099" max="4107" width="7.7109375" style="3" customWidth="1"/>
    <col min="4108" max="4108" width="8.28515625" style="3" customWidth="1"/>
    <col min="4109" max="4111" width="7.7109375" style="3" customWidth="1"/>
    <col min="4112" max="4353" width="11.42578125" style="3"/>
    <col min="4354" max="4354" width="26.85546875" style="3" customWidth="1"/>
    <col min="4355" max="4363" width="7.7109375" style="3" customWidth="1"/>
    <col min="4364" max="4364" width="8.28515625" style="3" customWidth="1"/>
    <col min="4365" max="4367" width="7.7109375" style="3" customWidth="1"/>
    <col min="4368" max="4609" width="11.42578125" style="3"/>
    <col min="4610" max="4610" width="26.85546875" style="3" customWidth="1"/>
    <col min="4611" max="4619" width="7.7109375" style="3" customWidth="1"/>
    <col min="4620" max="4620" width="8.28515625" style="3" customWidth="1"/>
    <col min="4621" max="4623" width="7.7109375" style="3" customWidth="1"/>
    <col min="4624" max="4865" width="11.42578125" style="3"/>
    <col min="4866" max="4866" width="26.85546875" style="3" customWidth="1"/>
    <col min="4867" max="4875" width="7.7109375" style="3" customWidth="1"/>
    <col min="4876" max="4876" width="8.28515625" style="3" customWidth="1"/>
    <col min="4877" max="4879" width="7.7109375" style="3" customWidth="1"/>
    <col min="4880" max="5121" width="11.42578125" style="3"/>
    <col min="5122" max="5122" width="26.85546875" style="3" customWidth="1"/>
    <col min="5123" max="5131" width="7.7109375" style="3" customWidth="1"/>
    <col min="5132" max="5132" width="8.28515625" style="3" customWidth="1"/>
    <col min="5133" max="5135" width="7.7109375" style="3" customWidth="1"/>
    <col min="5136" max="5377" width="11.42578125" style="3"/>
    <col min="5378" max="5378" width="26.85546875" style="3" customWidth="1"/>
    <col min="5379" max="5387" width="7.7109375" style="3" customWidth="1"/>
    <col min="5388" max="5388" width="8.28515625" style="3" customWidth="1"/>
    <col min="5389" max="5391" width="7.7109375" style="3" customWidth="1"/>
    <col min="5392" max="5633" width="11.42578125" style="3"/>
    <col min="5634" max="5634" width="26.85546875" style="3" customWidth="1"/>
    <col min="5635" max="5643" width="7.7109375" style="3" customWidth="1"/>
    <col min="5644" max="5644" width="8.28515625" style="3" customWidth="1"/>
    <col min="5645" max="5647" width="7.7109375" style="3" customWidth="1"/>
    <col min="5648" max="5889" width="11.42578125" style="3"/>
    <col min="5890" max="5890" width="26.85546875" style="3" customWidth="1"/>
    <col min="5891" max="5899" width="7.7109375" style="3" customWidth="1"/>
    <col min="5900" max="5900" width="8.28515625" style="3" customWidth="1"/>
    <col min="5901" max="5903" width="7.7109375" style="3" customWidth="1"/>
    <col min="5904" max="6145" width="11.42578125" style="3"/>
    <col min="6146" max="6146" width="26.85546875" style="3" customWidth="1"/>
    <col min="6147" max="6155" width="7.7109375" style="3" customWidth="1"/>
    <col min="6156" max="6156" width="8.28515625" style="3" customWidth="1"/>
    <col min="6157" max="6159" width="7.7109375" style="3" customWidth="1"/>
    <col min="6160" max="6401" width="11.42578125" style="3"/>
    <col min="6402" max="6402" width="26.85546875" style="3" customWidth="1"/>
    <col min="6403" max="6411" width="7.7109375" style="3" customWidth="1"/>
    <col min="6412" max="6412" width="8.28515625" style="3" customWidth="1"/>
    <col min="6413" max="6415" width="7.7109375" style="3" customWidth="1"/>
    <col min="6416" max="6657" width="11.42578125" style="3"/>
    <col min="6658" max="6658" width="26.85546875" style="3" customWidth="1"/>
    <col min="6659" max="6667" width="7.7109375" style="3" customWidth="1"/>
    <col min="6668" max="6668" width="8.28515625" style="3" customWidth="1"/>
    <col min="6669" max="6671" width="7.7109375" style="3" customWidth="1"/>
    <col min="6672" max="6913" width="11.42578125" style="3"/>
    <col min="6914" max="6914" width="26.85546875" style="3" customWidth="1"/>
    <col min="6915" max="6923" width="7.7109375" style="3" customWidth="1"/>
    <col min="6924" max="6924" width="8.28515625" style="3" customWidth="1"/>
    <col min="6925" max="6927" width="7.7109375" style="3" customWidth="1"/>
    <col min="6928" max="7169" width="11.42578125" style="3"/>
    <col min="7170" max="7170" width="26.85546875" style="3" customWidth="1"/>
    <col min="7171" max="7179" width="7.7109375" style="3" customWidth="1"/>
    <col min="7180" max="7180" width="8.28515625" style="3" customWidth="1"/>
    <col min="7181" max="7183" width="7.7109375" style="3" customWidth="1"/>
    <col min="7184" max="7425" width="11.42578125" style="3"/>
    <col min="7426" max="7426" width="26.85546875" style="3" customWidth="1"/>
    <col min="7427" max="7435" width="7.7109375" style="3" customWidth="1"/>
    <col min="7436" max="7436" width="8.28515625" style="3" customWidth="1"/>
    <col min="7437" max="7439" width="7.7109375" style="3" customWidth="1"/>
    <col min="7440" max="7681" width="11.42578125" style="3"/>
    <col min="7682" max="7682" width="26.85546875" style="3" customWidth="1"/>
    <col min="7683" max="7691" width="7.7109375" style="3" customWidth="1"/>
    <col min="7692" max="7692" width="8.28515625" style="3" customWidth="1"/>
    <col min="7693" max="7695" width="7.7109375" style="3" customWidth="1"/>
    <col min="7696" max="7937" width="11.42578125" style="3"/>
    <col min="7938" max="7938" width="26.85546875" style="3" customWidth="1"/>
    <col min="7939" max="7947" width="7.7109375" style="3" customWidth="1"/>
    <col min="7948" max="7948" width="8.28515625" style="3" customWidth="1"/>
    <col min="7949" max="7951" width="7.7109375" style="3" customWidth="1"/>
    <col min="7952" max="8193" width="11.42578125" style="3"/>
    <col min="8194" max="8194" width="26.85546875" style="3" customWidth="1"/>
    <col min="8195" max="8203" width="7.7109375" style="3" customWidth="1"/>
    <col min="8204" max="8204" width="8.28515625" style="3" customWidth="1"/>
    <col min="8205" max="8207" width="7.7109375" style="3" customWidth="1"/>
    <col min="8208" max="8449" width="11.42578125" style="3"/>
    <col min="8450" max="8450" width="26.85546875" style="3" customWidth="1"/>
    <col min="8451" max="8459" width="7.7109375" style="3" customWidth="1"/>
    <col min="8460" max="8460" width="8.28515625" style="3" customWidth="1"/>
    <col min="8461" max="8463" width="7.7109375" style="3" customWidth="1"/>
    <col min="8464" max="8705" width="11.42578125" style="3"/>
    <col min="8706" max="8706" width="26.85546875" style="3" customWidth="1"/>
    <col min="8707" max="8715" width="7.7109375" style="3" customWidth="1"/>
    <col min="8716" max="8716" width="8.28515625" style="3" customWidth="1"/>
    <col min="8717" max="8719" width="7.7109375" style="3" customWidth="1"/>
    <col min="8720" max="8961" width="11.42578125" style="3"/>
    <col min="8962" max="8962" width="26.85546875" style="3" customWidth="1"/>
    <col min="8963" max="8971" width="7.7109375" style="3" customWidth="1"/>
    <col min="8972" max="8972" width="8.28515625" style="3" customWidth="1"/>
    <col min="8973" max="8975" width="7.7109375" style="3" customWidth="1"/>
    <col min="8976" max="9217" width="11.42578125" style="3"/>
    <col min="9218" max="9218" width="26.85546875" style="3" customWidth="1"/>
    <col min="9219" max="9227" width="7.7109375" style="3" customWidth="1"/>
    <col min="9228" max="9228" width="8.28515625" style="3" customWidth="1"/>
    <col min="9229" max="9231" width="7.7109375" style="3" customWidth="1"/>
    <col min="9232" max="9473" width="11.42578125" style="3"/>
    <col min="9474" max="9474" width="26.85546875" style="3" customWidth="1"/>
    <col min="9475" max="9483" width="7.7109375" style="3" customWidth="1"/>
    <col min="9484" max="9484" width="8.28515625" style="3" customWidth="1"/>
    <col min="9485" max="9487" width="7.7109375" style="3" customWidth="1"/>
    <col min="9488" max="9729" width="11.42578125" style="3"/>
    <col min="9730" max="9730" width="26.85546875" style="3" customWidth="1"/>
    <col min="9731" max="9739" width="7.7109375" style="3" customWidth="1"/>
    <col min="9740" max="9740" width="8.28515625" style="3" customWidth="1"/>
    <col min="9741" max="9743" width="7.7109375" style="3" customWidth="1"/>
    <col min="9744" max="9985" width="11.42578125" style="3"/>
    <col min="9986" max="9986" width="26.85546875" style="3" customWidth="1"/>
    <col min="9987" max="9995" width="7.7109375" style="3" customWidth="1"/>
    <col min="9996" max="9996" width="8.28515625" style="3" customWidth="1"/>
    <col min="9997" max="9999" width="7.7109375" style="3" customWidth="1"/>
    <col min="10000" max="10241" width="11.42578125" style="3"/>
    <col min="10242" max="10242" width="26.85546875" style="3" customWidth="1"/>
    <col min="10243" max="10251" width="7.7109375" style="3" customWidth="1"/>
    <col min="10252" max="10252" width="8.28515625" style="3" customWidth="1"/>
    <col min="10253" max="10255" width="7.7109375" style="3" customWidth="1"/>
    <col min="10256" max="10497" width="11.42578125" style="3"/>
    <col min="10498" max="10498" width="26.85546875" style="3" customWidth="1"/>
    <col min="10499" max="10507" width="7.7109375" style="3" customWidth="1"/>
    <col min="10508" max="10508" width="8.28515625" style="3" customWidth="1"/>
    <col min="10509" max="10511" width="7.7109375" style="3" customWidth="1"/>
    <col min="10512" max="10753" width="11.42578125" style="3"/>
    <col min="10754" max="10754" width="26.85546875" style="3" customWidth="1"/>
    <col min="10755" max="10763" width="7.7109375" style="3" customWidth="1"/>
    <col min="10764" max="10764" width="8.28515625" style="3" customWidth="1"/>
    <col min="10765" max="10767" width="7.7109375" style="3" customWidth="1"/>
    <col min="10768" max="11009" width="11.42578125" style="3"/>
    <col min="11010" max="11010" width="26.85546875" style="3" customWidth="1"/>
    <col min="11011" max="11019" width="7.7109375" style="3" customWidth="1"/>
    <col min="11020" max="11020" width="8.28515625" style="3" customWidth="1"/>
    <col min="11021" max="11023" width="7.7109375" style="3" customWidth="1"/>
    <col min="11024" max="11265" width="11.42578125" style="3"/>
    <col min="11266" max="11266" width="26.85546875" style="3" customWidth="1"/>
    <col min="11267" max="11275" width="7.7109375" style="3" customWidth="1"/>
    <col min="11276" max="11276" width="8.28515625" style="3" customWidth="1"/>
    <col min="11277" max="11279" width="7.7109375" style="3" customWidth="1"/>
    <col min="11280" max="11521" width="11.42578125" style="3"/>
    <col min="11522" max="11522" width="26.85546875" style="3" customWidth="1"/>
    <col min="11523" max="11531" width="7.7109375" style="3" customWidth="1"/>
    <col min="11532" max="11532" width="8.28515625" style="3" customWidth="1"/>
    <col min="11533" max="11535" width="7.7109375" style="3" customWidth="1"/>
    <col min="11536" max="11777" width="11.42578125" style="3"/>
    <col min="11778" max="11778" width="26.85546875" style="3" customWidth="1"/>
    <col min="11779" max="11787" width="7.7109375" style="3" customWidth="1"/>
    <col min="11788" max="11788" width="8.28515625" style="3" customWidth="1"/>
    <col min="11789" max="11791" width="7.7109375" style="3" customWidth="1"/>
    <col min="11792" max="12033" width="11.42578125" style="3"/>
    <col min="12034" max="12034" width="26.85546875" style="3" customWidth="1"/>
    <col min="12035" max="12043" width="7.7109375" style="3" customWidth="1"/>
    <col min="12044" max="12044" width="8.28515625" style="3" customWidth="1"/>
    <col min="12045" max="12047" width="7.7109375" style="3" customWidth="1"/>
    <col min="12048" max="12289" width="11.42578125" style="3"/>
    <col min="12290" max="12290" width="26.85546875" style="3" customWidth="1"/>
    <col min="12291" max="12299" width="7.7109375" style="3" customWidth="1"/>
    <col min="12300" max="12300" width="8.28515625" style="3" customWidth="1"/>
    <col min="12301" max="12303" width="7.7109375" style="3" customWidth="1"/>
    <col min="12304" max="12545" width="11.42578125" style="3"/>
    <col min="12546" max="12546" width="26.85546875" style="3" customWidth="1"/>
    <col min="12547" max="12555" width="7.7109375" style="3" customWidth="1"/>
    <col min="12556" max="12556" width="8.28515625" style="3" customWidth="1"/>
    <col min="12557" max="12559" width="7.7109375" style="3" customWidth="1"/>
    <col min="12560" max="12801" width="11.42578125" style="3"/>
    <col min="12802" max="12802" width="26.85546875" style="3" customWidth="1"/>
    <col min="12803" max="12811" width="7.7109375" style="3" customWidth="1"/>
    <col min="12812" max="12812" width="8.28515625" style="3" customWidth="1"/>
    <col min="12813" max="12815" width="7.7109375" style="3" customWidth="1"/>
    <col min="12816" max="13057" width="11.42578125" style="3"/>
    <col min="13058" max="13058" width="26.85546875" style="3" customWidth="1"/>
    <col min="13059" max="13067" width="7.7109375" style="3" customWidth="1"/>
    <col min="13068" max="13068" width="8.28515625" style="3" customWidth="1"/>
    <col min="13069" max="13071" width="7.7109375" style="3" customWidth="1"/>
    <col min="13072" max="13313" width="11.42578125" style="3"/>
    <col min="13314" max="13314" width="26.85546875" style="3" customWidth="1"/>
    <col min="13315" max="13323" width="7.7109375" style="3" customWidth="1"/>
    <col min="13324" max="13324" width="8.28515625" style="3" customWidth="1"/>
    <col min="13325" max="13327" width="7.7109375" style="3" customWidth="1"/>
    <col min="13328" max="13569" width="11.42578125" style="3"/>
    <col min="13570" max="13570" width="26.85546875" style="3" customWidth="1"/>
    <col min="13571" max="13579" width="7.7109375" style="3" customWidth="1"/>
    <col min="13580" max="13580" width="8.28515625" style="3" customWidth="1"/>
    <col min="13581" max="13583" width="7.7109375" style="3" customWidth="1"/>
    <col min="13584" max="13825" width="11.42578125" style="3"/>
    <col min="13826" max="13826" width="26.85546875" style="3" customWidth="1"/>
    <col min="13827" max="13835" width="7.7109375" style="3" customWidth="1"/>
    <col min="13836" max="13836" width="8.28515625" style="3" customWidth="1"/>
    <col min="13837" max="13839" width="7.7109375" style="3" customWidth="1"/>
    <col min="13840" max="14081" width="11.42578125" style="3"/>
    <col min="14082" max="14082" width="26.85546875" style="3" customWidth="1"/>
    <col min="14083" max="14091" width="7.7109375" style="3" customWidth="1"/>
    <col min="14092" max="14092" width="8.28515625" style="3" customWidth="1"/>
    <col min="14093" max="14095" width="7.7109375" style="3" customWidth="1"/>
    <col min="14096" max="14337" width="11.42578125" style="3"/>
    <col min="14338" max="14338" width="26.85546875" style="3" customWidth="1"/>
    <col min="14339" max="14347" width="7.7109375" style="3" customWidth="1"/>
    <col min="14348" max="14348" width="8.28515625" style="3" customWidth="1"/>
    <col min="14349" max="14351" width="7.7109375" style="3" customWidth="1"/>
    <col min="14352" max="14593" width="11.42578125" style="3"/>
    <col min="14594" max="14594" width="26.85546875" style="3" customWidth="1"/>
    <col min="14595" max="14603" width="7.7109375" style="3" customWidth="1"/>
    <col min="14604" max="14604" width="8.28515625" style="3" customWidth="1"/>
    <col min="14605" max="14607" width="7.7109375" style="3" customWidth="1"/>
    <col min="14608" max="14849" width="11.42578125" style="3"/>
    <col min="14850" max="14850" width="26.85546875" style="3" customWidth="1"/>
    <col min="14851" max="14859" width="7.7109375" style="3" customWidth="1"/>
    <col min="14860" max="14860" width="8.28515625" style="3" customWidth="1"/>
    <col min="14861" max="14863" width="7.7109375" style="3" customWidth="1"/>
    <col min="14864" max="15105" width="11.42578125" style="3"/>
    <col min="15106" max="15106" width="26.85546875" style="3" customWidth="1"/>
    <col min="15107" max="15115" width="7.7109375" style="3" customWidth="1"/>
    <col min="15116" max="15116" width="8.28515625" style="3" customWidth="1"/>
    <col min="15117" max="15119" width="7.7109375" style="3" customWidth="1"/>
    <col min="15120" max="15361" width="11.42578125" style="3"/>
    <col min="15362" max="15362" width="26.85546875" style="3" customWidth="1"/>
    <col min="15363" max="15371" width="7.7109375" style="3" customWidth="1"/>
    <col min="15372" max="15372" width="8.28515625" style="3" customWidth="1"/>
    <col min="15373" max="15375" width="7.7109375" style="3" customWidth="1"/>
    <col min="15376" max="15617" width="11.42578125" style="3"/>
    <col min="15618" max="15618" width="26.85546875" style="3" customWidth="1"/>
    <col min="15619" max="15627" width="7.7109375" style="3" customWidth="1"/>
    <col min="15628" max="15628" width="8.28515625" style="3" customWidth="1"/>
    <col min="15629" max="15631" width="7.7109375" style="3" customWidth="1"/>
    <col min="15632" max="15873" width="11.42578125" style="3"/>
    <col min="15874" max="15874" width="26.85546875" style="3" customWidth="1"/>
    <col min="15875" max="15883" width="7.7109375" style="3" customWidth="1"/>
    <col min="15884" max="15884" width="8.28515625" style="3" customWidth="1"/>
    <col min="15885" max="15887" width="7.7109375" style="3" customWidth="1"/>
    <col min="15888" max="16129" width="11.42578125" style="3"/>
    <col min="16130" max="16130" width="26.85546875" style="3" customWidth="1"/>
    <col min="16131" max="16139" width="7.7109375" style="3" customWidth="1"/>
    <col min="16140" max="16140" width="8.28515625" style="3" customWidth="1"/>
    <col min="16141" max="16143" width="7.7109375" style="3" customWidth="1"/>
    <col min="16144" max="16384" width="11.42578125" style="3"/>
  </cols>
  <sheetData>
    <row r="1" spans="1:24" ht="20.25" customHeight="1" x14ac:dyDescent="0.25">
      <c r="A1" s="247"/>
      <c r="B1" s="248"/>
      <c r="C1" s="249"/>
      <c r="D1" s="243" t="s">
        <v>20</v>
      </c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4"/>
    </row>
    <row r="2" spans="1:24" ht="15.75" customHeight="1" thickBot="1" x14ac:dyDescent="0.3">
      <c r="A2" s="250"/>
      <c r="B2" s="251"/>
      <c r="C2" s="252"/>
      <c r="D2" s="245" t="s">
        <v>67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6"/>
    </row>
    <row r="3" spans="1:24" ht="13.5" customHeight="1" x14ac:dyDescent="0.25">
      <c r="A3" s="253" t="s">
        <v>0</v>
      </c>
      <c r="B3" s="254"/>
      <c r="C3" s="254"/>
      <c r="D3" s="254"/>
      <c r="E3" s="254"/>
      <c r="F3" s="254" t="str">
        <f>'SET SP Nataga'!J3</f>
        <v>GESTIÓN DE SERVICIOS PÚBLICOS - NATAGA</v>
      </c>
      <c r="G3" s="254"/>
      <c r="H3" s="254"/>
      <c r="I3" s="254"/>
      <c r="J3" s="254"/>
      <c r="K3" s="254"/>
      <c r="L3" s="254"/>
      <c r="M3" s="254"/>
      <c r="N3" s="254"/>
      <c r="O3" s="255"/>
    </row>
    <row r="4" spans="1:24" ht="15.75" customHeight="1" x14ac:dyDescent="0.25">
      <c r="A4" s="235" t="s">
        <v>1</v>
      </c>
      <c r="B4" s="236"/>
      <c r="C4" s="236"/>
      <c r="D4" s="236"/>
      <c r="E4" s="236"/>
      <c r="F4" s="256" t="str">
        <f>'SET SP Nataga'!$B10</f>
        <v>Cobertura   (Acueducto)</v>
      </c>
      <c r="G4" s="256"/>
      <c r="H4" s="256"/>
      <c r="I4" s="256"/>
      <c r="J4" s="256"/>
      <c r="K4" s="256"/>
      <c r="L4" s="256"/>
      <c r="M4" s="256"/>
      <c r="N4" s="256"/>
      <c r="O4" s="277"/>
    </row>
    <row r="5" spans="1:24" ht="15.75" customHeight="1" x14ac:dyDescent="0.25">
      <c r="A5" s="235" t="s">
        <v>55</v>
      </c>
      <c r="B5" s="236"/>
      <c r="C5" s="236"/>
      <c r="D5" s="236"/>
      <c r="E5" s="236"/>
      <c r="F5" s="238" t="str">
        <f>'SET SP Nataga'!F10</f>
        <v xml:space="preserve">Eficiencia </v>
      </c>
      <c r="G5" s="239"/>
      <c r="H5" s="239"/>
      <c r="I5" s="239"/>
      <c r="J5" s="239"/>
      <c r="K5" s="239"/>
      <c r="L5" s="239"/>
      <c r="M5" s="239"/>
      <c r="N5" s="239"/>
      <c r="O5" s="240"/>
    </row>
    <row r="6" spans="1:24" ht="17.25" customHeight="1" thickBot="1" x14ac:dyDescent="0.3">
      <c r="A6" s="259" t="s">
        <v>21</v>
      </c>
      <c r="B6" s="260"/>
      <c r="C6" s="260"/>
      <c r="D6" s="260"/>
      <c r="E6" s="260"/>
      <c r="F6" s="26" t="s">
        <v>94</v>
      </c>
      <c r="G6" s="261" t="str">
        <f>'SET SP Nataga'!A10</f>
        <v>IN05</v>
      </c>
      <c r="H6" s="261"/>
      <c r="I6" s="261"/>
      <c r="J6" s="261"/>
      <c r="K6" s="261"/>
      <c r="L6" s="261"/>
      <c r="M6" s="261"/>
      <c r="N6" s="261"/>
      <c r="O6" s="276"/>
    </row>
    <row r="7" spans="1:24" ht="12.75" customHeight="1" x14ac:dyDescent="0.25">
      <c r="A7" s="264" t="s">
        <v>22</v>
      </c>
      <c r="B7" s="265"/>
      <c r="C7" s="265"/>
      <c r="D7" s="265"/>
      <c r="E7" s="230" t="s">
        <v>23</v>
      </c>
      <c r="F7" s="230" t="s">
        <v>24</v>
      </c>
      <c r="G7" s="230"/>
      <c r="H7" s="230" t="s">
        <v>25</v>
      </c>
      <c r="I7" s="230" t="s">
        <v>26</v>
      </c>
      <c r="J7" s="230" t="s">
        <v>27</v>
      </c>
      <c r="K7" s="230"/>
      <c r="L7" s="232" t="s">
        <v>28</v>
      </c>
      <c r="M7" s="232"/>
      <c r="N7" s="232"/>
      <c r="O7" s="233"/>
    </row>
    <row r="8" spans="1:24" ht="46.5" customHeight="1" x14ac:dyDescent="0.25">
      <c r="A8" s="266"/>
      <c r="B8" s="234"/>
      <c r="C8" s="234"/>
      <c r="D8" s="234"/>
      <c r="E8" s="231"/>
      <c r="F8" s="231"/>
      <c r="G8" s="231"/>
      <c r="H8" s="231"/>
      <c r="I8" s="231"/>
      <c r="J8" s="231"/>
      <c r="K8" s="231"/>
      <c r="L8" s="234" t="s">
        <v>29</v>
      </c>
      <c r="M8" s="234"/>
      <c r="N8" s="234" t="s">
        <v>30</v>
      </c>
      <c r="O8" s="237"/>
    </row>
    <row r="9" spans="1:24" ht="55.5" customHeight="1" thickBot="1" x14ac:dyDescent="0.3">
      <c r="A9" s="206" t="str">
        <f>'SET SP Nataga'!$C10</f>
        <v xml:space="preserve">Medir el grado de cobertura en   la prestación del servicio de acueducto administrado por Aguas del Huila. </v>
      </c>
      <c r="B9" s="207"/>
      <c r="C9" s="207"/>
      <c r="D9" s="207"/>
      <c r="E9" s="17" t="s">
        <v>35</v>
      </c>
      <c r="F9" s="207" t="str">
        <f>'SET SP Nataga'!$D10</f>
        <v xml:space="preserve">(Número de Suscriptores servicio acueducto / Número de Domicilios) x 100% </v>
      </c>
      <c r="G9" s="207"/>
      <c r="H9" s="14">
        <f>$O16</f>
        <v>0</v>
      </c>
      <c r="I9" s="36" t="str">
        <f>'SET SP Nataga'!$E10</f>
        <v>Trimestral</v>
      </c>
      <c r="J9" s="208" t="s">
        <v>89</v>
      </c>
      <c r="K9" s="209"/>
      <c r="L9" s="209"/>
      <c r="M9" s="209"/>
      <c r="N9" s="209"/>
      <c r="O9" s="210"/>
    </row>
    <row r="10" spans="1:24" ht="13.5" customHeight="1" x14ac:dyDescent="0.25">
      <c r="A10" s="216" t="s">
        <v>38</v>
      </c>
      <c r="B10" s="217"/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8"/>
    </row>
    <row r="11" spans="1:24" ht="21.75" customHeight="1" thickBot="1" x14ac:dyDescent="0.3">
      <c r="A11" s="219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1"/>
    </row>
    <row r="12" spans="1:24" ht="15" customHeight="1" thickBot="1" x14ac:dyDescent="0.3">
      <c r="A12" s="281" t="s">
        <v>31</v>
      </c>
      <c r="B12" s="282"/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3"/>
      <c r="V12" s="9"/>
      <c r="W12" s="37"/>
      <c r="X12" s="37"/>
    </row>
    <row r="13" spans="1:24" ht="16.5" customHeight="1" x14ac:dyDescent="0.25">
      <c r="A13" s="225" t="s">
        <v>273</v>
      </c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7"/>
      <c r="V13" s="9"/>
      <c r="W13" s="10"/>
      <c r="X13" s="10"/>
    </row>
    <row r="14" spans="1:24" ht="16.5" customHeight="1" x14ac:dyDescent="0.25">
      <c r="A14" s="228" t="s">
        <v>32</v>
      </c>
      <c r="B14" s="229"/>
      <c r="C14" s="135" t="s">
        <v>8</v>
      </c>
      <c r="D14" s="135" t="s">
        <v>9</v>
      </c>
      <c r="E14" s="135" t="s">
        <v>10</v>
      </c>
      <c r="F14" s="135" t="s">
        <v>11</v>
      </c>
      <c r="G14" s="135" t="s">
        <v>12</v>
      </c>
      <c r="H14" s="135" t="s">
        <v>13</v>
      </c>
      <c r="I14" s="135" t="s">
        <v>14</v>
      </c>
      <c r="J14" s="135" t="s">
        <v>15</v>
      </c>
      <c r="K14" s="135" t="s">
        <v>16</v>
      </c>
      <c r="L14" s="135" t="s">
        <v>17</v>
      </c>
      <c r="M14" s="135" t="s">
        <v>18</v>
      </c>
      <c r="N14" s="135" t="s">
        <v>19</v>
      </c>
      <c r="O14" s="6" t="s">
        <v>33</v>
      </c>
      <c r="V14" s="9"/>
      <c r="W14" s="10"/>
      <c r="X14" s="10"/>
    </row>
    <row r="15" spans="1:24" ht="16.5" customHeight="1" x14ac:dyDescent="0.25">
      <c r="A15" s="183" t="s">
        <v>39</v>
      </c>
      <c r="B15" s="184"/>
      <c r="C15" s="137">
        <f t="shared" ref="C15:N15" si="0">$O$15</f>
        <v>0</v>
      </c>
      <c r="D15" s="137">
        <f t="shared" si="0"/>
        <v>0</v>
      </c>
      <c r="E15" s="137">
        <f t="shared" si="0"/>
        <v>0</v>
      </c>
      <c r="F15" s="137">
        <f t="shared" si="0"/>
        <v>0</v>
      </c>
      <c r="G15" s="137">
        <f t="shared" si="0"/>
        <v>0</v>
      </c>
      <c r="H15" s="137">
        <f t="shared" si="0"/>
        <v>0</v>
      </c>
      <c r="I15" s="137">
        <f t="shared" si="0"/>
        <v>0</v>
      </c>
      <c r="J15" s="137">
        <f t="shared" si="0"/>
        <v>0</v>
      </c>
      <c r="K15" s="137">
        <f t="shared" si="0"/>
        <v>0</v>
      </c>
      <c r="L15" s="137">
        <f t="shared" si="0"/>
        <v>0</v>
      </c>
      <c r="M15" s="137">
        <f t="shared" si="0"/>
        <v>0</v>
      </c>
      <c r="N15" s="137">
        <f t="shared" si="0"/>
        <v>0</v>
      </c>
      <c r="O15" s="145">
        <f>'SET SP Nataga'!J10</f>
        <v>0</v>
      </c>
      <c r="V15" s="9"/>
      <c r="W15" s="10"/>
      <c r="X15" s="10"/>
    </row>
    <row r="16" spans="1:24" ht="17.25" customHeight="1" x14ac:dyDescent="0.25">
      <c r="A16" s="183" t="s">
        <v>272</v>
      </c>
      <c r="B16" s="184"/>
      <c r="C16" s="137">
        <f t="shared" ref="C16:N16" si="1">$O$16</f>
        <v>0</v>
      </c>
      <c r="D16" s="137">
        <f t="shared" si="1"/>
        <v>0</v>
      </c>
      <c r="E16" s="137">
        <f t="shared" si="1"/>
        <v>0</v>
      </c>
      <c r="F16" s="137">
        <f t="shared" si="1"/>
        <v>0</v>
      </c>
      <c r="G16" s="137">
        <f t="shared" si="1"/>
        <v>0</v>
      </c>
      <c r="H16" s="137">
        <f t="shared" si="1"/>
        <v>0</v>
      </c>
      <c r="I16" s="137">
        <f t="shared" si="1"/>
        <v>0</v>
      </c>
      <c r="J16" s="137">
        <f t="shared" si="1"/>
        <v>0</v>
      </c>
      <c r="K16" s="137">
        <f t="shared" si="1"/>
        <v>0</v>
      </c>
      <c r="L16" s="137">
        <f t="shared" si="1"/>
        <v>0</v>
      </c>
      <c r="M16" s="137">
        <f t="shared" si="1"/>
        <v>0</v>
      </c>
      <c r="N16" s="137">
        <f t="shared" si="1"/>
        <v>0</v>
      </c>
      <c r="O16" s="145">
        <f>'SET SP Nataga'!K10</f>
        <v>0</v>
      </c>
      <c r="V16" s="9"/>
      <c r="W16" s="10"/>
      <c r="X16" s="10"/>
    </row>
    <row r="17" spans="1:24" ht="17.25" customHeight="1" x14ac:dyDescent="0.25">
      <c r="A17" s="187" t="s">
        <v>263</v>
      </c>
      <c r="B17" s="188"/>
      <c r="C17" s="12">
        <f>IF((C19),C18/C19,"-")</f>
        <v>0.9842615012106537</v>
      </c>
      <c r="D17" s="12">
        <f t="shared" ref="D17:E17" si="2">IF((D19),D18/D19,"-")</f>
        <v>0.9843184559710495</v>
      </c>
      <c r="E17" s="12">
        <f t="shared" si="2"/>
        <v>0.98439375750300118</v>
      </c>
      <c r="F17" s="12">
        <f>IF((F19),F18/F19,"-")</f>
        <v>0.98439375750300118</v>
      </c>
      <c r="G17" s="12">
        <f t="shared" ref="G17:O17" si="3">IF((G19),G18/G19,"-")</f>
        <v>0.98444976076555024</v>
      </c>
      <c r="H17" s="12">
        <f t="shared" si="3"/>
        <v>0.98444976076555024</v>
      </c>
      <c r="I17" s="12">
        <f t="shared" si="3"/>
        <v>0.98448687350835318</v>
      </c>
      <c r="J17" s="12">
        <f t="shared" si="3"/>
        <v>0.98446833930704902</v>
      </c>
      <c r="K17" s="12">
        <f t="shared" si="3"/>
        <v>0.98450536352800955</v>
      </c>
      <c r="L17" s="12">
        <f t="shared" si="3"/>
        <v>0.98452380952380958</v>
      </c>
      <c r="M17" s="12">
        <f t="shared" si="3"/>
        <v>0.98454221165279432</v>
      </c>
      <c r="N17" s="12">
        <f t="shared" si="3"/>
        <v>0.98452380952380958</v>
      </c>
      <c r="O17" s="13">
        <f t="shared" si="3"/>
        <v>0.98444355803749506</v>
      </c>
      <c r="V17" s="9"/>
      <c r="W17" s="10"/>
      <c r="X17" s="10"/>
    </row>
    <row r="18" spans="1:24" ht="24" customHeight="1" x14ac:dyDescent="0.25">
      <c r="A18" s="189" t="s">
        <v>37</v>
      </c>
      <c r="B18" s="39" t="s">
        <v>258</v>
      </c>
      <c r="C18" s="4">
        <f>+'NATAGA-18'!D$6</f>
        <v>813</v>
      </c>
      <c r="D18" s="23">
        <f>+'NATAGA-18'!E$6</f>
        <v>816</v>
      </c>
      <c r="E18" s="23">
        <f>+'NATAGA-18'!F$6</f>
        <v>820</v>
      </c>
      <c r="F18" s="23">
        <f>+'NATAGA-18'!G$6</f>
        <v>820</v>
      </c>
      <c r="G18" s="23">
        <f>+'NATAGA-18'!H$6</f>
        <v>823</v>
      </c>
      <c r="H18" s="23">
        <f>+'NATAGA-18'!I$6</f>
        <v>823</v>
      </c>
      <c r="I18" s="23">
        <f>+'NATAGA-18'!J$6</f>
        <v>825</v>
      </c>
      <c r="J18" s="23">
        <f>+'NATAGA-18'!K$6</f>
        <v>824</v>
      </c>
      <c r="K18" s="23">
        <f>+'NATAGA-18'!L$6</f>
        <v>826</v>
      </c>
      <c r="L18" s="23">
        <f>+'NATAGA-18'!M$6</f>
        <v>827</v>
      </c>
      <c r="M18" s="23">
        <f>+'NATAGA-18'!N$6</f>
        <v>828</v>
      </c>
      <c r="N18" s="23">
        <f>+'NATAGA-18'!O$6</f>
        <v>827</v>
      </c>
      <c r="O18" s="24">
        <f>SUM(C18:N18)</f>
        <v>9872</v>
      </c>
      <c r="V18" s="9"/>
      <c r="W18" s="10"/>
      <c r="X18" s="10"/>
    </row>
    <row r="19" spans="1:24" ht="15.75" customHeight="1" x14ac:dyDescent="0.25">
      <c r="A19" s="189"/>
      <c r="B19" s="39" t="s">
        <v>136</v>
      </c>
      <c r="C19" s="4">
        <f>+'NATAGA-18'!D$5</f>
        <v>826</v>
      </c>
      <c r="D19" s="23">
        <f>+'NATAGA-18'!E$5</f>
        <v>829</v>
      </c>
      <c r="E19" s="23">
        <f>+'NATAGA-18'!F$5</f>
        <v>833</v>
      </c>
      <c r="F19" s="23">
        <f>+'NATAGA-18'!G$5</f>
        <v>833</v>
      </c>
      <c r="G19" s="23">
        <f>+'NATAGA-18'!H$5</f>
        <v>836</v>
      </c>
      <c r="H19" s="23">
        <f>+'NATAGA-18'!I$5</f>
        <v>836</v>
      </c>
      <c r="I19" s="23">
        <f>+'NATAGA-18'!J$5</f>
        <v>838</v>
      </c>
      <c r="J19" s="23">
        <f>+'NATAGA-18'!K$5</f>
        <v>837</v>
      </c>
      <c r="K19" s="23">
        <f>+'NATAGA-18'!L$5</f>
        <v>839</v>
      </c>
      <c r="L19" s="23">
        <f>+'NATAGA-18'!M$5</f>
        <v>840</v>
      </c>
      <c r="M19" s="23">
        <f>+'NATAGA-18'!N$5</f>
        <v>841</v>
      </c>
      <c r="N19" s="23">
        <f>+'NATAGA-18'!O$5</f>
        <v>840</v>
      </c>
      <c r="O19" s="24">
        <f>SUM(C19:N19)</f>
        <v>10028</v>
      </c>
      <c r="V19" s="9"/>
      <c r="W19" s="10"/>
      <c r="X19" s="10"/>
    </row>
    <row r="20" spans="1:24" ht="17.25" customHeight="1" x14ac:dyDescent="0.25">
      <c r="A20" s="189"/>
      <c r="B20" s="13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19"/>
      <c r="V20" s="9"/>
      <c r="W20" s="10"/>
      <c r="X20" s="10"/>
    </row>
    <row r="21" spans="1:24" ht="18" customHeight="1" thickBot="1" x14ac:dyDescent="0.3">
      <c r="A21" s="190"/>
      <c r="B21" s="136" t="s">
        <v>3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20"/>
      <c r="V21" s="9"/>
      <c r="W21" s="10"/>
      <c r="X21" s="10"/>
    </row>
    <row r="22" spans="1:24" ht="14.25" customHeight="1" thickBot="1" x14ac:dyDescent="0.3">
      <c r="A22" s="191" t="s">
        <v>34</v>
      </c>
      <c r="B22" s="192"/>
      <c r="C22" s="193"/>
      <c r="D22" s="180" t="str">
        <f>'SET SP Nataga'!$G10</f>
        <v>Entre 80% y 100%</v>
      </c>
      <c r="E22" s="181"/>
      <c r="F22" s="181"/>
      <c r="G22" s="182"/>
      <c r="H22" s="180" t="str">
        <f>'SET SP Nataga'!$H10</f>
        <v>Entre 60% y 79%</v>
      </c>
      <c r="I22" s="181"/>
      <c r="J22" s="181"/>
      <c r="K22" s="182"/>
      <c r="L22" s="180" t="str">
        <f>'SET SP Nataga'!$I10</f>
        <v>Menor al 59%</v>
      </c>
      <c r="M22" s="185"/>
      <c r="N22" s="185"/>
      <c r="O22" s="186"/>
      <c r="V22" s="9"/>
      <c r="W22" s="10"/>
      <c r="X22" s="10"/>
    </row>
    <row r="23" spans="1:24" ht="33" customHeight="1" thickBot="1" x14ac:dyDescent="0.3">
      <c r="A23" s="194"/>
      <c r="B23" s="195"/>
      <c r="C23" s="195"/>
      <c r="D23" s="196" t="s">
        <v>7</v>
      </c>
      <c r="E23" s="196"/>
      <c r="F23" s="196"/>
      <c r="G23" s="196"/>
      <c r="H23" s="197" t="s">
        <v>61</v>
      </c>
      <c r="I23" s="197"/>
      <c r="J23" s="197"/>
      <c r="K23" s="197"/>
      <c r="L23" s="211" t="s">
        <v>62</v>
      </c>
      <c r="M23" s="211"/>
      <c r="N23" s="211"/>
      <c r="O23" s="212"/>
      <c r="V23" s="9"/>
      <c r="W23" s="10"/>
      <c r="X23" s="10"/>
    </row>
    <row r="24" spans="1:24" ht="15.75" customHeight="1" thickBot="1" x14ac:dyDescent="0.3">
      <c r="A24" s="213" t="s">
        <v>36</v>
      </c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5"/>
      <c r="V24" s="9"/>
      <c r="W24" s="10"/>
      <c r="X24" s="10"/>
    </row>
    <row r="25" spans="1:24" ht="264.75" customHeight="1" thickBot="1" x14ac:dyDescent="0.3">
      <c r="A25" s="177"/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9"/>
      <c r="V25" s="9"/>
    </row>
    <row r="26" spans="1:24" ht="15" customHeight="1" x14ac:dyDescent="0.25">
      <c r="A26" s="198" t="s">
        <v>58</v>
      </c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200" t="s">
        <v>60</v>
      </c>
      <c r="O26" s="201"/>
    </row>
    <row r="27" spans="1:24" ht="15" x14ac:dyDescent="0.25">
      <c r="A27" s="202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41">
        <v>43101</v>
      </c>
      <c r="O27" s="242"/>
    </row>
    <row r="28" spans="1:24" ht="15" x14ac:dyDescent="0.25">
      <c r="A28" s="202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41">
        <v>43132</v>
      </c>
      <c r="O28" s="242"/>
    </row>
    <row r="29" spans="1:24" ht="15" x14ac:dyDescent="0.25">
      <c r="A29" s="202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41">
        <v>43160</v>
      </c>
      <c r="O29" s="242"/>
    </row>
    <row r="30" spans="1:24" ht="15" x14ac:dyDescent="0.25">
      <c r="A30" s="202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41">
        <v>43191</v>
      </c>
      <c r="O30" s="242"/>
    </row>
    <row r="31" spans="1:24" ht="15" x14ac:dyDescent="0.25">
      <c r="A31" s="202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41">
        <v>43221</v>
      </c>
      <c r="O31" s="242"/>
    </row>
    <row r="32" spans="1:24" ht="15" x14ac:dyDescent="0.25">
      <c r="A32" s="202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41">
        <v>43252</v>
      </c>
      <c r="O32" s="242"/>
    </row>
    <row r="33" spans="1:17" ht="15" x14ac:dyDescent="0.25">
      <c r="A33" s="202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41">
        <v>43282</v>
      </c>
      <c r="O33" s="242"/>
    </row>
    <row r="34" spans="1:17" ht="15" x14ac:dyDescent="0.25">
      <c r="A34" s="202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41">
        <v>43313</v>
      </c>
      <c r="O34" s="242"/>
    </row>
    <row r="35" spans="1:17" ht="15" x14ac:dyDescent="0.25">
      <c r="A35" s="202"/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41">
        <v>43344</v>
      </c>
      <c r="O35" s="242"/>
    </row>
    <row r="36" spans="1:17" ht="15" x14ac:dyDescent="0.25">
      <c r="A36" s="202"/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41">
        <v>43374</v>
      </c>
      <c r="O36" s="242"/>
    </row>
    <row r="37" spans="1:17" ht="15" x14ac:dyDescent="0.25">
      <c r="A37" s="202"/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41">
        <v>43405</v>
      </c>
      <c r="O37" s="242"/>
    </row>
    <row r="38" spans="1:17" ht="15.75" thickBot="1" x14ac:dyDescent="0.3">
      <c r="A38" s="202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41">
        <v>43435</v>
      </c>
      <c r="O38" s="242"/>
    </row>
    <row r="39" spans="1:17" ht="19.5" customHeight="1" x14ac:dyDescent="0.25">
      <c r="A39" s="198" t="s">
        <v>59</v>
      </c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200" t="s">
        <v>60</v>
      </c>
      <c r="O39" s="201"/>
    </row>
    <row r="40" spans="1:17" ht="15" x14ac:dyDescent="0.25">
      <c r="A40" s="202" t="s">
        <v>3</v>
      </c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4"/>
      <c r="O40" s="205"/>
    </row>
    <row r="41" spans="1:17" ht="15.75" thickBot="1" x14ac:dyDescent="0.3">
      <c r="A41" s="273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5"/>
    </row>
    <row r="42" spans="1:17" ht="6" customHeight="1" x14ac:dyDescent="0.25">
      <c r="A42" s="176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</row>
    <row r="44" spans="1:17" ht="14.25" x14ac:dyDescent="0.2">
      <c r="Q44" s="48" t="s">
        <v>81</v>
      </c>
    </row>
    <row r="45" spans="1:17" ht="14.25" x14ac:dyDescent="0.2">
      <c r="Q45" s="48" t="s">
        <v>82</v>
      </c>
    </row>
    <row r="46" spans="1:17" ht="14.25" x14ac:dyDescent="0.2">
      <c r="Q46" s="48" t="s">
        <v>83</v>
      </c>
    </row>
    <row r="47" spans="1:17" ht="14.25" x14ac:dyDescent="0.2">
      <c r="Q47" s="48" t="s">
        <v>84</v>
      </c>
    </row>
    <row r="48" spans="1:17" ht="14.25" x14ac:dyDescent="0.2">
      <c r="Q48" s="48" t="s">
        <v>85</v>
      </c>
    </row>
    <row r="49" spans="17:17" ht="14.25" x14ac:dyDescent="0.2">
      <c r="Q49" s="48" t="s">
        <v>86</v>
      </c>
    </row>
    <row r="50" spans="17:17" ht="14.25" x14ac:dyDescent="0.2">
      <c r="Q50" s="48" t="s">
        <v>87</v>
      </c>
    </row>
    <row r="51" spans="17:17" ht="14.25" x14ac:dyDescent="0.2">
      <c r="Q51" s="48" t="s">
        <v>88</v>
      </c>
    </row>
    <row r="52" spans="17:17" ht="14.25" x14ac:dyDescent="0.2">
      <c r="Q52" s="48" t="s">
        <v>89</v>
      </c>
    </row>
    <row r="53" spans="17:17" ht="14.25" x14ac:dyDescent="0.2">
      <c r="Q53" s="48" t="s">
        <v>90</v>
      </c>
    </row>
    <row r="54" spans="17:17" ht="14.25" x14ac:dyDescent="0.2">
      <c r="Q54" s="48" t="s">
        <v>91</v>
      </c>
    </row>
    <row r="55" spans="17:17" ht="14.25" x14ac:dyDescent="0.2">
      <c r="Q55" s="48" t="s">
        <v>92</v>
      </c>
    </row>
    <row r="56" spans="17:17" ht="14.25" x14ac:dyDescent="0.2">
      <c r="Q56" s="48" t="s">
        <v>93</v>
      </c>
    </row>
    <row r="58" spans="17:17" x14ac:dyDescent="0.25">
      <c r="Q58" s="11">
        <v>0.92</v>
      </c>
    </row>
    <row r="59" spans="17:17" x14ac:dyDescent="0.25">
      <c r="Q59" s="11">
        <v>1</v>
      </c>
    </row>
  </sheetData>
  <sheetProtection algorithmName="SHA-512" hashValue="NuWIpiPWeNNuipq9+ZJN5SqdPgz0/cxE0E6UVkPcgpLaaIP6Yg1byg7vgbe64yrSczl7pygV9VbICW77vxMRIw==" saltValue="W0XgVzZ3B1XlPZv4wcBuwg==" spinCount="100000" sheet="1" objects="1" scenarios="1"/>
  <mergeCells count="74">
    <mergeCell ref="N29:O29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A34:M34"/>
    <mergeCell ref="A35:M35"/>
    <mergeCell ref="A36:M36"/>
    <mergeCell ref="A37:M37"/>
    <mergeCell ref="A38:M38"/>
    <mergeCell ref="A29:M29"/>
    <mergeCell ref="A30:M30"/>
    <mergeCell ref="A31:M31"/>
    <mergeCell ref="A32:M32"/>
    <mergeCell ref="A33:M33"/>
    <mergeCell ref="A28:M28"/>
    <mergeCell ref="N28:O28"/>
    <mergeCell ref="D1:O1"/>
    <mergeCell ref="D2:O2"/>
    <mergeCell ref="A3:E3"/>
    <mergeCell ref="F3:O3"/>
    <mergeCell ref="A4:E4"/>
    <mergeCell ref="F4:O4"/>
    <mergeCell ref="A1:C2"/>
    <mergeCell ref="N8:O8"/>
    <mergeCell ref="A9:D9"/>
    <mergeCell ref="F9:G9"/>
    <mergeCell ref="L22:O22"/>
    <mergeCell ref="D23:G23"/>
    <mergeCell ref="H23:K23"/>
    <mergeCell ref="A11:O11"/>
    <mergeCell ref="A14:B14"/>
    <mergeCell ref="I7:I8"/>
    <mergeCell ref="J7:K8"/>
    <mergeCell ref="L7:O7"/>
    <mergeCell ref="L8:M8"/>
    <mergeCell ref="H7:H8"/>
    <mergeCell ref="L23:O23"/>
    <mergeCell ref="A5:E5"/>
    <mergeCell ref="A16:B16"/>
    <mergeCell ref="A17:B17"/>
    <mergeCell ref="A18:A21"/>
    <mergeCell ref="A15:B15"/>
    <mergeCell ref="A10:O10"/>
    <mergeCell ref="J9:O9"/>
    <mergeCell ref="F5:O5"/>
    <mergeCell ref="A6:E6"/>
    <mergeCell ref="G6:O6"/>
    <mergeCell ref="A7:D8"/>
    <mergeCell ref="E7:E8"/>
    <mergeCell ref="F7:G8"/>
    <mergeCell ref="A12:O12"/>
    <mergeCell ref="A13:O13"/>
    <mergeCell ref="A42:O42"/>
    <mergeCell ref="A25:O25"/>
    <mergeCell ref="H22:K22"/>
    <mergeCell ref="A22:C23"/>
    <mergeCell ref="D22:G22"/>
    <mergeCell ref="A24:O24"/>
    <mergeCell ref="A39:M39"/>
    <mergeCell ref="N39:O39"/>
    <mergeCell ref="A40:M40"/>
    <mergeCell ref="N40:O40"/>
    <mergeCell ref="A41:M41"/>
    <mergeCell ref="N41:O41"/>
    <mergeCell ref="A26:M26"/>
    <mergeCell ref="N26:O26"/>
    <mergeCell ref="A27:M27"/>
    <mergeCell ref="N27:O27"/>
  </mergeCells>
  <dataValidations count="1">
    <dataValidation type="list" allowBlank="1" showInputMessage="1" showErrorMessage="1" sqref="J9:O9">
      <formula1>$Q$44:$Q$56</formula1>
    </dataValidation>
  </dataValidations>
  <pageMargins left="0.39370078740157483" right="0.39370078740157483" top="0.35433070866141736" bottom="0.35433070866141736" header="0" footer="0"/>
  <pageSetup scale="73" orientation="portrait" horizontalDpi="4294967294" verticalDpi="4294967294" r:id="rId1"/>
  <headerFooter alignWithMargins="0">
    <oddFooter>&amp;R&amp;8Diseñado por: Wilson Andrade González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59"/>
  <sheetViews>
    <sheetView windowProtection="1" topLeftCell="A30" zoomScaleSheetLayoutView="72" workbookViewId="0">
      <selection activeCell="N27" sqref="N27:O38"/>
    </sheetView>
  </sheetViews>
  <sheetFormatPr baseColWidth="10" defaultRowHeight="12.75" x14ac:dyDescent="0.25"/>
  <cols>
    <col min="1" max="1" width="3.85546875" style="3" customWidth="1"/>
    <col min="2" max="2" width="26.85546875" style="3" customWidth="1"/>
    <col min="3" max="11" width="7.7109375" style="3" customWidth="1"/>
    <col min="12" max="12" width="8.28515625" style="3" customWidth="1"/>
    <col min="13" max="15" width="7.7109375" style="3" customWidth="1"/>
    <col min="16" max="16" width="6.5703125" style="3" customWidth="1"/>
    <col min="17" max="18" width="6.5703125" style="3" hidden="1" customWidth="1"/>
    <col min="19" max="19" width="6.5703125" style="3" customWidth="1"/>
    <col min="20" max="20" width="11.42578125" style="3" customWidth="1"/>
    <col min="21" max="21" width="9" style="3" customWidth="1"/>
    <col min="22" max="22" width="5.7109375" style="3" customWidth="1"/>
    <col min="23" max="23" width="10.42578125" style="3" customWidth="1"/>
    <col min="24" max="24" width="10" style="3" customWidth="1"/>
    <col min="25" max="257" width="11.42578125" style="3"/>
    <col min="258" max="258" width="26.85546875" style="3" customWidth="1"/>
    <col min="259" max="267" width="7.7109375" style="3" customWidth="1"/>
    <col min="268" max="268" width="8.28515625" style="3" customWidth="1"/>
    <col min="269" max="271" width="7.7109375" style="3" customWidth="1"/>
    <col min="272" max="513" width="11.42578125" style="3"/>
    <col min="514" max="514" width="26.85546875" style="3" customWidth="1"/>
    <col min="515" max="523" width="7.7109375" style="3" customWidth="1"/>
    <col min="524" max="524" width="8.28515625" style="3" customWidth="1"/>
    <col min="525" max="527" width="7.7109375" style="3" customWidth="1"/>
    <col min="528" max="769" width="11.42578125" style="3"/>
    <col min="770" max="770" width="26.85546875" style="3" customWidth="1"/>
    <col min="771" max="779" width="7.7109375" style="3" customWidth="1"/>
    <col min="780" max="780" width="8.28515625" style="3" customWidth="1"/>
    <col min="781" max="783" width="7.7109375" style="3" customWidth="1"/>
    <col min="784" max="1025" width="11.42578125" style="3"/>
    <col min="1026" max="1026" width="26.85546875" style="3" customWidth="1"/>
    <col min="1027" max="1035" width="7.7109375" style="3" customWidth="1"/>
    <col min="1036" max="1036" width="8.28515625" style="3" customWidth="1"/>
    <col min="1037" max="1039" width="7.7109375" style="3" customWidth="1"/>
    <col min="1040" max="1281" width="11.42578125" style="3"/>
    <col min="1282" max="1282" width="26.85546875" style="3" customWidth="1"/>
    <col min="1283" max="1291" width="7.7109375" style="3" customWidth="1"/>
    <col min="1292" max="1292" width="8.28515625" style="3" customWidth="1"/>
    <col min="1293" max="1295" width="7.7109375" style="3" customWidth="1"/>
    <col min="1296" max="1537" width="11.42578125" style="3"/>
    <col min="1538" max="1538" width="26.85546875" style="3" customWidth="1"/>
    <col min="1539" max="1547" width="7.7109375" style="3" customWidth="1"/>
    <col min="1548" max="1548" width="8.28515625" style="3" customWidth="1"/>
    <col min="1549" max="1551" width="7.7109375" style="3" customWidth="1"/>
    <col min="1552" max="1793" width="11.42578125" style="3"/>
    <col min="1794" max="1794" width="26.85546875" style="3" customWidth="1"/>
    <col min="1795" max="1803" width="7.7109375" style="3" customWidth="1"/>
    <col min="1804" max="1804" width="8.28515625" style="3" customWidth="1"/>
    <col min="1805" max="1807" width="7.7109375" style="3" customWidth="1"/>
    <col min="1808" max="2049" width="11.42578125" style="3"/>
    <col min="2050" max="2050" width="26.85546875" style="3" customWidth="1"/>
    <col min="2051" max="2059" width="7.7109375" style="3" customWidth="1"/>
    <col min="2060" max="2060" width="8.28515625" style="3" customWidth="1"/>
    <col min="2061" max="2063" width="7.7109375" style="3" customWidth="1"/>
    <col min="2064" max="2305" width="11.42578125" style="3"/>
    <col min="2306" max="2306" width="26.85546875" style="3" customWidth="1"/>
    <col min="2307" max="2315" width="7.7109375" style="3" customWidth="1"/>
    <col min="2316" max="2316" width="8.28515625" style="3" customWidth="1"/>
    <col min="2317" max="2319" width="7.7109375" style="3" customWidth="1"/>
    <col min="2320" max="2561" width="11.42578125" style="3"/>
    <col min="2562" max="2562" width="26.85546875" style="3" customWidth="1"/>
    <col min="2563" max="2571" width="7.7109375" style="3" customWidth="1"/>
    <col min="2572" max="2572" width="8.28515625" style="3" customWidth="1"/>
    <col min="2573" max="2575" width="7.7109375" style="3" customWidth="1"/>
    <col min="2576" max="2817" width="11.42578125" style="3"/>
    <col min="2818" max="2818" width="26.85546875" style="3" customWidth="1"/>
    <col min="2819" max="2827" width="7.7109375" style="3" customWidth="1"/>
    <col min="2828" max="2828" width="8.28515625" style="3" customWidth="1"/>
    <col min="2829" max="2831" width="7.7109375" style="3" customWidth="1"/>
    <col min="2832" max="3073" width="11.42578125" style="3"/>
    <col min="3074" max="3074" width="26.85546875" style="3" customWidth="1"/>
    <col min="3075" max="3083" width="7.7109375" style="3" customWidth="1"/>
    <col min="3084" max="3084" width="8.28515625" style="3" customWidth="1"/>
    <col min="3085" max="3087" width="7.7109375" style="3" customWidth="1"/>
    <col min="3088" max="3329" width="11.42578125" style="3"/>
    <col min="3330" max="3330" width="26.85546875" style="3" customWidth="1"/>
    <col min="3331" max="3339" width="7.7109375" style="3" customWidth="1"/>
    <col min="3340" max="3340" width="8.28515625" style="3" customWidth="1"/>
    <col min="3341" max="3343" width="7.7109375" style="3" customWidth="1"/>
    <col min="3344" max="3585" width="11.42578125" style="3"/>
    <col min="3586" max="3586" width="26.85546875" style="3" customWidth="1"/>
    <col min="3587" max="3595" width="7.7109375" style="3" customWidth="1"/>
    <col min="3596" max="3596" width="8.28515625" style="3" customWidth="1"/>
    <col min="3597" max="3599" width="7.7109375" style="3" customWidth="1"/>
    <col min="3600" max="3841" width="11.42578125" style="3"/>
    <col min="3842" max="3842" width="26.85546875" style="3" customWidth="1"/>
    <col min="3843" max="3851" width="7.7109375" style="3" customWidth="1"/>
    <col min="3852" max="3852" width="8.28515625" style="3" customWidth="1"/>
    <col min="3853" max="3855" width="7.7109375" style="3" customWidth="1"/>
    <col min="3856" max="4097" width="11.42578125" style="3"/>
    <col min="4098" max="4098" width="26.85546875" style="3" customWidth="1"/>
    <col min="4099" max="4107" width="7.7109375" style="3" customWidth="1"/>
    <col min="4108" max="4108" width="8.28515625" style="3" customWidth="1"/>
    <col min="4109" max="4111" width="7.7109375" style="3" customWidth="1"/>
    <col min="4112" max="4353" width="11.42578125" style="3"/>
    <col min="4354" max="4354" width="26.85546875" style="3" customWidth="1"/>
    <col min="4355" max="4363" width="7.7109375" style="3" customWidth="1"/>
    <col min="4364" max="4364" width="8.28515625" style="3" customWidth="1"/>
    <col min="4365" max="4367" width="7.7109375" style="3" customWidth="1"/>
    <col min="4368" max="4609" width="11.42578125" style="3"/>
    <col min="4610" max="4610" width="26.85546875" style="3" customWidth="1"/>
    <col min="4611" max="4619" width="7.7109375" style="3" customWidth="1"/>
    <col min="4620" max="4620" width="8.28515625" style="3" customWidth="1"/>
    <col min="4621" max="4623" width="7.7109375" style="3" customWidth="1"/>
    <col min="4624" max="4865" width="11.42578125" style="3"/>
    <col min="4866" max="4866" width="26.85546875" style="3" customWidth="1"/>
    <col min="4867" max="4875" width="7.7109375" style="3" customWidth="1"/>
    <col min="4876" max="4876" width="8.28515625" style="3" customWidth="1"/>
    <col min="4877" max="4879" width="7.7109375" style="3" customWidth="1"/>
    <col min="4880" max="5121" width="11.42578125" style="3"/>
    <col min="5122" max="5122" width="26.85546875" style="3" customWidth="1"/>
    <col min="5123" max="5131" width="7.7109375" style="3" customWidth="1"/>
    <col min="5132" max="5132" width="8.28515625" style="3" customWidth="1"/>
    <col min="5133" max="5135" width="7.7109375" style="3" customWidth="1"/>
    <col min="5136" max="5377" width="11.42578125" style="3"/>
    <col min="5378" max="5378" width="26.85546875" style="3" customWidth="1"/>
    <col min="5379" max="5387" width="7.7109375" style="3" customWidth="1"/>
    <col min="5388" max="5388" width="8.28515625" style="3" customWidth="1"/>
    <col min="5389" max="5391" width="7.7109375" style="3" customWidth="1"/>
    <col min="5392" max="5633" width="11.42578125" style="3"/>
    <col min="5634" max="5634" width="26.85546875" style="3" customWidth="1"/>
    <col min="5635" max="5643" width="7.7109375" style="3" customWidth="1"/>
    <col min="5644" max="5644" width="8.28515625" style="3" customWidth="1"/>
    <col min="5645" max="5647" width="7.7109375" style="3" customWidth="1"/>
    <col min="5648" max="5889" width="11.42578125" style="3"/>
    <col min="5890" max="5890" width="26.85546875" style="3" customWidth="1"/>
    <col min="5891" max="5899" width="7.7109375" style="3" customWidth="1"/>
    <col min="5900" max="5900" width="8.28515625" style="3" customWidth="1"/>
    <col min="5901" max="5903" width="7.7109375" style="3" customWidth="1"/>
    <col min="5904" max="6145" width="11.42578125" style="3"/>
    <col min="6146" max="6146" width="26.85546875" style="3" customWidth="1"/>
    <col min="6147" max="6155" width="7.7109375" style="3" customWidth="1"/>
    <col min="6156" max="6156" width="8.28515625" style="3" customWidth="1"/>
    <col min="6157" max="6159" width="7.7109375" style="3" customWidth="1"/>
    <col min="6160" max="6401" width="11.42578125" style="3"/>
    <col min="6402" max="6402" width="26.85546875" style="3" customWidth="1"/>
    <col min="6403" max="6411" width="7.7109375" style="3" customWidth="1"/>
    <col min="6412" max="6412" width="8.28515625" style="3" customWidth="1"/>
    <col min="6413" max="6415" width="7.7109375" style="3" customWidth="1"/>
    <col min="6416" max="6657" width="11.42578125" style="3"/>
    <col min="6658" max="6658" width="26.85546875" style="3" customWidth="1"/>
    <col min="6659" max="6667" width="7.7109375" style="3" customWidth="1"/>
    <col min="6668" max="6668" width="8.28515625" style="3" customWidth="1"/>
    <col min="6669" max="6671" width="7.7109375" style="3" customWidth="1"/>
    <col min="6672" max="6913" width="11.42578125" style="3"/>
    <col min="6914" max="6914" width="26.85546875" style="3" customWidth="1"/>
    <col min="6915" max="6923" width="7.7109375" style="3" customWidth="1"/>
    <col min="6924" max="6924" width="8.28515625" style="3" customWidth="1"/>
    <col min="6925" max="6927" width="7.7109375" style="3" customWidth="1"/>
    <col min="6928" max="7169" width="11.42578125" style="3"/>
    <col min="7170" max="7170" width="26.85546875" style="3" customWidth="1"/>
    <col min="7171" max="7179" width="7.7109375" style="3" customWidth="1"/>
    <col min="7180" max="7180" width="8.28515625" style="3" customWidth="1"/>
    <col min="7181" max="7183" width="7.7109375" style="3" customWidth="1"/>
    <col min="7184" max="7425" width="11.42578125" style="3"/>
    <col min="7426" max="7426" width="26.85546875" style="3" customWidth="1"/>
    <col min="7427" max="7435" width="7.7109375" style="3" customWidth="1"/>
    <col min="7436" max="7436" width="8.28515625" style="3" customWidth="1"/>
    <col min="7437" max="7439" width="7.7109375" style="3" customWidth="1"/>
    <col min="7440" max="7681" width="11.42578125" style="3"/>
    <col min="7682" max="7682" width="26.85546875" style="3" customWidth="1"/>
    <col min="7683" max="7691" width="7.7109375" style="3" customWidth="1"/>
    <col min="7692" max="7692" width="8.28515625" style="3" customWidth="1"/>
    <col min="7693" max="7695" width="7.7109375" style="3" customWidth="1"/>
    <col min="7696" max="7937" width="11.42578125" style="3"/>
    <col min="7938" max="7938" width="26.85546875" style="3" customWidth="1"/>
    <col min="7939" max="7947" width="7.7109375" style="3" customWidth="1"/>
    <col min="7948" max="7948" width="8.28515625" style="3" customWidth="1"/>
    <col min="7949" max="7951" width="7.7109375" style="3" customWidth="1"/>
    <col min="7952" max="8193" width="11.42578125" style="3"/>
    <col min="8194" max="8194" width="26.85546875" style="3" customWidth="1"/>
    <col min="8195" max="8203" width="7.7109375" style="3" customWidth="1"/>
    <col min="8204" max="8204" width="8.28515625" style="3" customWidth="1"/>
    <col min="8205" max="8207" width="7.7109375" style="3" customWidth="1"/>
    <col min="8208" max="8449" width="11.42578125" style="3"/>
    <col min="8450" max="8450" width="26.85546875" style="3" customWidth="1"/>
    <col min="8451" max="8459" width="7.7109375" style="3" customWidth="1"/>
    <col min="8460" max="8460" width="8.28515625" style="3" customWidth="1"/>
    <col min="8461" max="8463" width="7.7109375" style="3" customWidth="1"/>
    <col min="8464" max="8705" width="11.42578125" style="3"/>
    <col min="8706" max="8706" width="26.85546875" style="3" customWidth="1"/>
    <col min="8707" max="8715" width="7.7109375" style="3" customWidth="1"/>
    <col min="8716" max="8716" width="8.28515625" style="3" customWidth="1"/>
    <col min="8717" max="8719" width="7.7109375" style="3" customWidth="1"/>
    <col min="8720" max="8961" width="11.42578125" style="3"/>
    <col min="8962" max="8962" width="26.85546875" style="3" customWidth="1"/>
    <col min="8963" max="8971" width="7.7109375" style="3" customWidth="1"/>
    <col min="8972" max="8972" width="8.28515625" style="3" customWidth="1"/>
    <col min="8973" max="8975" width="7.7109375" style="3" customWidth="1"/>
    <col min="8976" max="9217" width="11.42578125" style="3"/>
    <col min="9218" max="9218" width="26.85546875" style="3" customWidth="1"/>
    <col min="9219" max="9227" width="7.7109375" style="3" customWidth="1"/>
    <col min="9228" max="9228" width="8.28515625" style="3" customWidth="1"/>
    <col min="9229" max="9231" width="7.7109375" style="3" customWidth="1"/>
    <col min="9232" max="9473" width="11.42578125" style="3"/>
    <col min="9474" max="9474" width="26.85546875" style="3" customWidth="1"/>
    <col min="9475" max="9483" width="7.7109375" style="3" customWidth="1"/>
    <col min="9484" max="9484" width="8.28515625" style="3" customWidth="1"/>
    <col min="9485" max="9487" width="7.7109375" style="3" customWidth="1"/>
    <col min="9488" max="9729" width="11.42578125" style="3"/>
    <col min="9730" max="9730" width="26.85546875" style="3" customWidth="1"/>
    <col min="9731" max="9739" width="7.7109375" style="3" customWidth="1"/>
    <col min="9740" max="9740" width="8.28515625" style="3" customWidth="1"/>
    <col min="9741" max="9743" width="7.7109375" style="3" customWidth="1"/>
    <col min="9744" max="9985" width="11.42578125" style="3"/>
    <col min="9986" max="9986" width="26.85546875" style="3" customWidth="1"/>
    <col min="9987" max="9995" width="7.7109375" style="3" customWidth="1"/>
    <col min="9996" max="9996" width="8.28515625" style="3" customWidth="1"/>
    <col min="9997" max="9999" width="7.7109375" style="3" customWidth="1"/>
    <col min="10000" max="10241" width="11.42578125" style="3"/>
    <col min="10242" max="10242" width="26.85546875" style="3" customWidth="1"/>
    <col min="10243" max="10251" width="7.7109375" style="3" customWidth="1"/>
    <col min="10252" max="10252" width="8.28515625" style="3" customWidth="1"/>
    <col min="10253" max="10255" width="7.7109375" style="3" customWidth="1"/>
    <col min="10256" max="10497" width="11.42578125" style="3"/>
    <col min="10498" max="10498" width="26.85546875" style="3" customWidth="1"/>
    <col min="10499" max="10507" width="7.7109375" style="3" customWidth="1"/>
    <col min="10508" max="10508" width="8.28515625" style="3" customWidth="1"/>
    <col min="10509" max="10511" width="7.7109375" style="3" customWidth="1"/>
    <col min="10512" max="10753" width="11.42578125" style="3"/>
    <col min="10754" max="10754" width="26.85546875" style="3" customWidth="1"/>
    <col min="10755" max="10763" width="7.7109375" style="3" customWidth="1"/>
    <col min="10764" max="10764" width="8.28515625" style="3" customWidth="1"/>
    <col min="10765" max="10767" width="7.7109375" style="3" customWidth="1"/>
    <col min="10768" max="11009" width="11.42578125" style="3"/>
    <col min="11010" max="11010" width="26.85546875" style="3" customWidth="1"/>
    <col min="11011" max="11019" width="7.7109375" style="3" customWidth="1"/>
    <col min="11020" max="11020" width="8.28515625" style="3" customWidth="1"/>
    <col min="11021" max="11023" width="7.7109375" style="3" customWidth="1"/>
    <col min="11024" max="11265" width="11.42578125" style="3"/>
    <col min="11266" max="11266" width="26.85546875" style="3" customWidth="1"/>
    <col min="11267" max="11275" width="7.7109375" style="3" customWidth="1"/>
    <col min="11276" max="11276" width="8.28515625" style="3" customWidth="1"/>
    <col min="11277" max="11279" width="7.7109375" style="3" customWidth="1"/>
    <col min="11280" max="11521" width="11.42578125" style="3"/>
    <col min="11522" max="11522" width="26.85546875" style="3" customWidth="1"/>
    <col min="11523" max="11531" width="7.7109375" style="3" customWidth="1"/>
    <col min="11532" max="11532" width="8.28515625" style="3" customWidth="1"/>
    <col min="11533" max="11535" width="7.7109375" style="3" customWidth="1"/>
    <col min="11536" max="11777" width="11.42578125" style="3"/>
    <col min="11778" max="11778" width="26.85546875" style="3" customWidth="1"/>
    <col min="11779" max="11787" width="7.7109375" style="3" customWidth="1"/>
    <col min="11788" max="11788" width="8.28515625" style="3" customWidth="1"/>
    <col min="11789" max="11791" width="7.7109375" style="3" customWidth="1"/>
    <col min="11792" max="12033" width="11.42578125" style="3"/>
    <col min="12034" max="12034" width="26.85546875" style="3" customWidth="1"/>
    <col min="12035" max="12043" width="7.7109375" style="3" customWidth="1"/>
    <col min="12044" max="12044" width="8.28515625" style="3" customWidth="1"/>
    <col min="12045" max="12047" width="7.7109375" style="3" customWidth="1"/>
    <col min="12048" max="12289" width="11.42578125" style="3"/>
    <col min="12290" max="12290" width="26.85546875" style="3" customWidth="1"/>
    <col min="12291" max="12299" width="7.7109375" style="3" customWidth="1"/>
    <col min="12300" max="12300" width="8.28515625" style="3" customWidth="1"/>
    <col min="12301" max="12303" width="7.7109375" style="3" customWidth="1"/>
    <col min="12304" max="12545" width="11.42578125" style="3"/>
    <col min="12546" max="12546" width="26.85546875" style="3" customWidth="1"/>
    <col min="12547" max="12555" width="7.7109375" style="3" customWidth="1"/>
    <col min="12556" max="12556" width="8.28515625" style="3" customWidth="1"/>
    <col min="12557" max="12559" width="7.7109375" style="3" customWidth="1"/>
    <col min="12560" max="12801" width="11.42578125" style="3"/>
    <col min="12802" max="12802" width="26.85546875" style="3" customWidth="1"/>
    <col min="12803" max="12811" width="7.7109375" style="3" customWidth="1"/>
    <col min="12812" max="12812" width="8.28515625" style="3" customWidth="1"/>
    <col min="12813" max="12815" width="7.7109375" style="3" customWidth="1"/>
    <col min="12816" max="13057" width="11.42578125" style="3"/>
    <col min="13058" max="13058" width="26.85546875" style="3" customWidth="1"/>
    <col min="13059" max="13067" width="7.7109375" style="3" customWidth="1"/>
    <col min="13068" max="13068" width="8.28515625" style="3" customWidth="1"/>
    <col min="13069" max="13071" width="7.7109375" style="3" customWidth="1"/>
    <col min="13072" max="13313" width="11.42578125" style="3"/>
    <col min="13314" max="13314" width="26.85546875" style="3" customWidth="1"/>
    <col min="13315" max="13323" width="7.7109375" style="3" customWidth="1"/>
    <col min="13324" max="13324" width="8.28515625" style="3" customWidth="1"/>
    <col min="13325" max="13327" width="7.7109375" style="3" customWidth="1"/>
    <col min="13328" max="13569" width="11.42578125" style="3"/>
    <col min="13570" max="13570" width="26.85546875" style="3" customWidth="1"/>
    <col min="13571" max="13579" width="7.7109375" style="3" customWidth="1"/>
    <col min="13580" max="13580" width="8.28515625" style="3" customWidth="1"/>
    <col min="13581" max="13583" width="7.7109375" style="3" customWidth="1"/>
    <col min="13584" max="13825" width="11.42578125" style="3"/>
    <col min="13826" max="13826" width="26.85546875" style="3" customWidth="1"/>
    <col min="13827" max="13835" width="7.7109375" style="3" customWidth="1"/>
    <col min="13836" max="13836" width="8.28515625" style="3" customWidth="1"/>
    <col min="13837" max="13839" width="7.7109375" style="3" customWidth="1"/>
    <col min="13840" max="14081" width="11.42578125" style="3"/>
    <col min="14082" max="14082" width="26.85546875" style="3" customWidth="1"/>
    <col min="14083" max="14091" width="7.7109375" style="3" customWidth="1"/>
    <col min="14092" max="14092" width="8.28515625" style="3" customWidth="1"/>
    <col min="14093" max="14095" width="7.7109375" style="3" customWidth="1"/>
    <col min="14096" max="14337" width="11.42578125" style="3"/>
    <col min="14338" max="14338" width="26.85546875" style="3" customWidth="1"/>
    <col min="14339" max="14347" width="7.7109375" style="3" customWidth="1"/>
    <col min="14348" max="14348" width="8.28515625" style="3" customWidth="1"/>
    <col min="14349" max="14351" width="7.7109375" style="3" customWidth="1"/>
    <col min="14352" max="14593" width="11.42578125" style="3"/>
    <col min="14594" max="14594" width="26.85546875" style="3" customWidth="1"/>
    <col min="14595" max="14603" width="7.7109375" style="3" customWidth="1"/>
    <col min="14604" max="14604" width="8.28515625" style="3" customWidth="1"/>
    <col min="14605" max="14607" width="7.7109375" style="3" customWidth="1"/>
    <col min="14608" max="14849" width="11.42578125" style="3"/>
    <col min="14850" max="14850" width="26.85546875" style="3" customWidth="1"/>
    <col min="14851" max="14859" width="7.7109375" style="3" customWidth="1"/>
    <col min="14860" max="14860" width="8.28515625" style="3" customWidth="1"/>
    <col min="14861" max="14863" width="7.7109375" style="3" customWidth="1"/>
    <col min="14864" max="15105" width="11.42578125" style="3"/>
    <col min="15106" max="15106" width="26.85546875" style="3" customWidth="1"/>
    <col min="15107" max="15115" width="7.7109375" style="3" customWidth="1"/>
    <col min="15116" max="15116" width="8.28515625" style="3" customWidth="1"/>
    <col min="15117" max="15119" width="7.7109375" style="3" customWidth="1"/>
    <col min="15120" max="15361" width="11.42578125" style="3"/>
    <col min="15362" max="15362" width="26.85546875" style="3" customWidth="1"/>
    <col min="15363" max="15371" width="7.7109375" style="3" customWidth="1"/>
    <col min="15372" max="15372" width="8.28515625" style="3" customWidth="1"/>
    <col min="15373" max="15375" width="7.7109375" style="3" customWidth="1"/>
    <col min="15376" max="15617" width="11.42578125" style="3"/>
    <col min="15618" max="15618" width="26.85546875" style="3" customWidth="1"/>
    <col min="15619" max="15627" width="7.7109375" style="3" customWidth="1"/>
    <col min="15628" max="15628" width="8.28515625" style="3" customWidth="1"/>
    <col min="15629" max="15631" width="7.7109375" style="3" customWidth="1"/>
    <col min="15632" max="15873" width="11.42578125" style="3"/>
    <col min="15874" max="15874" width="26.85546875" style="3" customWidth="1"/>
    <col min="15875" max="15883" width="7.7109375" style="3" customWidth="1"/>
    <col min="15884" max="15884" width="8.28515625" style="3" customWidth="1"/>
    <col min="15885" max="15887" width="7.7109375" style="3" customWidth="1"/>
    <col min="15888" max="16129" width="11.42578125" style="3"/>
    <col min="16130" max="16130" width="26.85546875" style="3" customWidth="1"/>
    <col min="16131" max="16139" width="7.7109375" style="3" customWidth="1"/>
    <col min="16140" max="16140" width="8.28515625" style="3" customWidth="1"/>
    <col min="16141" max="16143" width="7.7109375" style="3" customWidth="1"/>
    <col min="16144" max="16384" width="11.42578125" style="3"/>
  </cols>
  <sheetData>
    <row r="1" spans="1:24" ht="20.25" customHeight="1" x14ac:dyDescent="0.25">
      <c r="A1" s="247"/>
      <c r="B1" s="248"/>
      <c r="C1" s="249"/>
      <c r="D1" s="243" t="s">
        <v>20</v>
      </c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4"/>
    </row>
    <row r="2" spans="1:24" ht="15.75" customHeight="1" thickBot="1" x14ac:dyDescent="0.3">
      <c r="A2" s="250"/>
      <c r="B2" s="251"/>
      <c r="C2" s="252"/>
      <c r="D2" s="245" t="s">
        <v>67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6"/>
    </row>
    <row r="3" spans="1:24" ht="13.5" customHeight="1" x14ac:dyDescent="0.25">
      <c r="A3" s="253" t="s">
        <v>0</v>
      </c>
      <c r="B3" s="254"/>
      <c r="C3" s="254"/>
      <c r="D3" s="254"/>
      <c r="E3" s="254"/>
      <c r="F3" s="254" t="str">
        <f>'SET SP Nataga'!J3</f>
        <v>GESTIÓN DE SERVICIOS PÚBLICOS - NATAGA</v>
      </c>
      <c r="G3" s="254"/>
      <c r="H3" s="254"/>
      <c r="I3" s="254"/>
      <c r="J3" s="254"/>
      <c r="K3" s="254"/>
      <c r="L3" s="254"/>
      <c r="M3" s="254"/>
      <c r="N3" s="254"/>
      <c r="O3" s="255"/>
    </row>
    <row r="4" spans="1:24" ht="15.75" customHeight="1" x14ac:dyDescent="0.25">
      <c r="A4" s="235" t="s">
        <v>1</v>
      </c>
      <c r="B4" s="236"/>
      <c r="C4" s="236"/>
      <c r="D4" s="236"/>
      <c r="E4" s="236"/>
      <c r="F4" s="256" t="str">
        <f>'SET SP Nataga'!$B11</f>
        <v>Cobertura   (Alcantarillado)</v>
      </c>
      <c r="G4" s="256"/>
      <c r="H4" s="256"/>
      <c r="I4" s="256"/>
      <c r="J4" s="256"/>
      <c r="K4" s="256"/>
      <c r="L4" s="256"/>
      <c r="M4" s="256"/>
      <c r="N4" s="256"/>
      <c r="O4" s="277"/>
    </row>
    <row r="5" spans="1:24" ht="15.75" customHeight="1" x14ac:dyDescent="0.25">
      <c r="A5" s="235" t="s">
        <v>55</v>
      </c>
      <c r="B5" s="236"/>
      <c r="C5" s="236"/>
      <c r="D5" s="236"/>
      <c r="E5" s="236"/>
      <c r="F5" s="238" t="str">
        <f>'SET SP Nataga'!F11</f>
        <v xml:space="preserve">Eficiencia </v>
      </c>
      <c r="G5" s="239"/>
      <c r="H5" s="239"/>
      <c r="I5" s="239"/>
      <c r="J5" s="239"/>
      <c r="K5" s="239"/>
      <c r="L5" s="239"/>
      <c r="M5" s="239"/>
      <c r="N5" s="239"/>
      <c r="O5" s="240"/>
    </row>
    <row r="6" spans="1:24" ht="17.25" customHeight="1" thickBot="1" x14ac:dyDescent="0.3">
      <c r="A6" s="259" t="s">
        <v>21</v>
      </c>
      <c r="B6" s="260"/>
      <c r="C6" s="260"/>
      <c r="D6" s="260"/>
      <c r="E6" s="260"/>
      <c r="F6" s="26" t="s">
        <v>94</v>
      </c>
      <c r="G6" s="261" t="str">
        <f>'SET SP Nataga'!A11</f>
        <v>IN06</v>
      </c>
      <c r="H6" s="261"/>
      <c r="I6" s="261"/>
      <c r="J6" s="261"/>
      <c r="K6" s="261"/>
      <c r="L6" s="261"/>
      <c r="M6" s="261"/>
      <c r="N6" s="261"/>
      <c r="O6" s="276"/>
    </row>
    <row r="7" spans="1:24" ht="12.75" customHeight="1" x14ac:dyDescent="0.25">
      <c r="A7" s="264" t="s">
        <v>22</v>
      </c>
      <c r="B7" s="265"/>
      <c r="C7" s="265"/>
      <c r="D7" s="265"/>
      <c r="E7" s="230" t="s">
        <v>23</v>
      </c>
      <c r="F7" s="230" t="s">
        <v>24</v>
      </c>
      <c r="G7" s="230"/>
      <c r="H7" s="230" t="s">
        <v>25</v>
      </c>
      <c r="I7" s="230" t="s">
        <v>26</v>
      </c>
      <c r="J7" s="230" t="s">
        <v>27</v>
      </c>
      <c r="K7" s="230"/>
      <c r="L7" s="232" t="s">
        <v>28</v>
      </c>
      <c r="M7" s="232"/>
      <c r="N7" s="232"/>
      <c r="O7" s="233"/>
    </row>
    <row r="8" spans="1:24" ht="46.5" customHeight="1" x14ac:dyDescent="0.25">
      <c r="A8" s="266"/>
      <c r="B8" s="234"/>
      <c r="C8" s="234"/>
      <c r="D8" s="234"/>
      <c r="E8" s="231"/>
      <c r="F8" s="231"/>
      <c r="G8" s="231"/>
      <c r="H8" s="231"/>
      <c r="I8" s="231"/>
      <c r="J8" s="231"/>
      <c r="K8" s="231"/>
      <c r="L8" s="234" t="s">
        <v>29</v>
      </c>
      <c r="M8" s="234"/>
      <c r="N8" s="234" t="s">
        <v>30</v>
      </c>
      <c r="O8" s="237"/>
    </row>
    <row r="9" spans="1:24" ht="56.25" customHeight="1" thickBot="1" x14ac:dyDescent="0.3">
      <c r="A9" s="206" t="str">
        <f>'SET SP Nataga'!$C11</f>
        <v xml:space="preserve">Medir el grado de cobertura en   la prestación del servicio de alcantarillado administrado  por Aguas del Huila. </v>
      </c>
      <c r="B9" s="207"/>
      <c r="C9" s="207"/>
      <c r="D9" s="207"/>
      <c r="E9" s="17" t="s">
        <v>35</v>
      </c>
      <c r="F9" s="207" t="str">
        <f>'SET SP Nataga'!$D11</f>
        <v xml:space="preserve">(Número de Suscriptores servicio alcantarillado / Número de Domicilios) x 100%  </v>
      </c>
      <c r="G9" s="207"/>
      <c r="H9" s="22">
        <f>$O16</f>
        <v>0</v>
      </c>
      <c r="I9" s="15" t="str">
        <f>'SET SP Nataga'!$E11</f>
        <v>Trimestral</v>
      </c>
      <c r="J9" s="208" t="s">
        <v>89</v>
      </c>
      <c r="K9" s="209"/>
      <c r="L9" s="209"/>
      <c r="M9" s="209"/>
      <c r="N9" s="209"/>
      <c r="O9" s="210"/>
    </row>
    <row r="10" spans="1:24" ht="13.5" customHeight="1" x14ac:dyDescent="0.25">
      <c r="A10" s="216" t="s">
        <v>38</v>
      </c>
      <c r="B10" s="217"/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8"/>
    </row>
    <row r="11" spans="1:24" ht="21.75" customHeight="1" thickBot="1" x14ac:dyDescent="0.3">
      <c r="A11" s="219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1"/>
    </row>
    <row r="12" spans="1:24" ht="15" customHeight="1" thickBot="1" x14ac:dyDescent="0.3">
      <c r="A12" s="281" t="s">
        <v>31</v>
      </c>
      <c r="B12" s="282"/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3"/>
      <c r="V12" s="9"/>
      <c r="W12" s="7"/>
      <c r="X12" s="7"/>
    </row>
    <row r="13" spans="1:24" ht="16.5" customHeight="1" x14ac:dyDescent="0.25">
      <c r="A13" s="225" t="s">
        <v>273</v>
      </c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7"/>
      <c r="V13" s="9"/>
      <c r="W13" s="10"/>
      <c r="X13" s="10"/>
    </row>
    <row r="14" spans="1:24" ht="16.5" customHeight="1" x14ac:dyDescent="0.25">
      <c r="A14" s="228" t="s">
        <v>32</v>
      </c>
      <c r="B14" s="229"/>
      <c r="C14" s="135" t="s">
        <v>8</v>
      </c>
      <c r="D14" s="135" t="s">
        <v>9</v>
      </c>
      <c r="E14" s="135" t="s">
        <v>10</v>
      </c>
      <c r="F14" s="135" t="s">
        <v>11</v>
      </c>
      <c r="G14" s="135" t="s">
        <v>12</v>
      </c>
      <c r="H14" s="135" t="s">
        <v>13</v>
      </c>
      <c r="I14" s="135" t="s">
        <v>14</v>
      </c>
      <c r="J14" s="135" t="s">
        <v>15</v>
      </c>
      <c r="K14" s="135" t="s">
        <v>16</v>
      </c>
      <c r="L14" s="135" t="s">
        <v>17</v>
      </c>
      <c r="M14" s="135" t="s">
        <v>18</v>
      </c>
      <c r="N14" s="135" t="s">
        <v>19</v>
      </c>
      <c r="O14" s="6" t="s">
        <v>33</v>
      </c>
      <c r="V14" s="9"/>
      <c r="W14" s="10"/>
      <c r="X14" s="10"/>
    </row>
    <row r="15" spans="1:24" ht="16.5" customHeight="1" x14ac:dyDescent="0.25">
      <c r="A15" s="183" t="s">
        <v>39</v>
      </c>
      <c r="B15" s="184"/>
      <c r="C15" s="137">
        <f t="shared" ref="C15:N15" si="0">$O$15</f>
        <v>0</v>
      </c>
      <c r="D15" s="137">
        <f t="shared" si="0"/>
        <v>0</v>
      </c>
      <c r="E15" s="137">
        <f t="shared" si="0"/>
        <v>0</v>
      </c>
      <c r="F15" s="137">
        <f t="shared" si="0"/>
        <v>0</v>
      </c>
      <c r="G15" s="137">
        <f t="shared" si="0"/>
        <v>0</v>
      </c>
      <c r="H15" s="137">
        <f t="shared" si="0"/>
        <v>0</v>
      </c>
      <c r="I15" s="137">
        <f t="shared" si="0"/>
        <v>0</v>
      </c>
      <c r="J15" s="137">
        <f t="shared" si="0"/>
        <v>0</v>
      </c>
      <c r="K15" s="137">
        <f t="shared" si="0"/>
        <v>0</v>
      </c>
      <c r="L15" s="137">
        <f t="shared" si="0"/>
        <v>0</v>
      </c>
      <c r="M15" s="137">
        <f t="shared" si="0"/>
        <v>0</v>
      </c>
      <c r="N15" s="137">
        <f t="shared" si="0"/>
        <v>0</v>
      </c>
      <c r="O15" s="145">
        <f>'SET SP Nataga'!J11</f>
        <v>0</v>
      </c>
      <c r="V15" s="9"/>
      <c r="W15" s="10"/>
      <c r="X15" s="10"/>
    </row>
    <row r="16" spans="1:24" ht="17.25" customHeight="1" x14ac:dyDescent="0.25">
      <c r="A16" s="183" t="s">
        <v>272</v>
      </c>
      <c r="B16" s="184"/>
      <c r="C16" s="137">
        <f t="shared" ref="C16:N16" si="1">$O$16</f>
        <v>0</v>
      </c>
      <c r="D16" s="137">
        <f t="shared" si="1"/>
        <v>0</v>
      </c>
      <c r="E16" s="137">
        <f t="shared" si="1"/>
        <v>0</v>
      </c>
      <c r="F16" s="137">
        <f t="shared" si="1"/>
        <v>0</v>
      </c>
      <c r="G16" s="137">
        <f t="shared" si="1"/>
        <v>0</v>
      </c>
      <c r="H16" s="137">
        <f t="shared" si="1"/>
        <v>0</v>
      </c>
      <c r="I16" s="137">
        <f t="shared" si="1"/>
        <v>0</v>
      </c>
      <c r="J16" s="137">
        <f t="shared" si="1"/>
        <v>0</v>
      </c>
      <c r="K16" s="137">
        <f t="shared" si="1"/>
        <v>0</v>
      </c>
      <c r="L16" s="137">
        <f t="shared" si="1"/>
        <v>0</v>
      </c>
      <c r="M16" s="137">
        <f t="shared" si="1"/>
        <v>0</v>
      </c>
      <c r="N16" s="137">
        <f t="shared" si="1"/>
        <v>0</v>
      </c>
      <c r="O16" s="145">
        <f>'SET SP Nataga'!K11</f>
        <v>0</v>
      </c>
      <c r="V16" s="9"/>
      <c r="W16" s="10"/>
      <c r="X16" s="10"/>
    </row>
    <row r="17" spans="1:24" ht="17.25" customHeight="1" x14ac:dyDescent="0.25">
      <c r="A17" s="187" t="s">
        <v>263</v>
      </c>
      <c r="B17" s="188"/>
      <c r="C17" s="12">
        <f t="shared" ref="C17:E17" si="2">IF((C19),C18/C19,"-")</f>
        <v>0.95278450363196121</v>
      </c>
      <c r="D17" s="12">
        <f t="shared" si="2"/>
        <v>0.95295536791314839</v>
      </c>
      <c r="E17" s="12">
        <f t="shared" si="2"/>
        <v>0.95318127250900364</v>
      </c>
      <c r="F17" s="12">
        <f>IF((F19),F18/F19,"-")</f>
        <v>0.95318127250900364</v>
      </c>
      <c r="G17" s="12">
        <f t="shared" ref="G17:O17" si="3">IF((G19),G18/G19,"-")</f>
        <v>0.95334928229665072</v>
      </c>
      <c r="H17" s="12">
        <f t="shared" si="3"/>
        <v>0.95334928229665072</v>
      </c>
      <c r="I17" s="12">
        <f t="shared" si="3"/>
        <v>0.95226730310262531</v>
      </c>
      <c r="J17" s="12">
        <f t="shared" si="3"/>
        <v>0.95459976105137401</v>
      </c>
      <c r="K17" s="12">
        <f t="shared" si="3"/>
        <v>0.95470798569725868</v>
      </c>
      <c r="L17" s="12">
        <f t="shared" si="3"/>
        <v>0.95476190476190481</v>
      </c>
      <c r="M17" s="12">
        <f t="shared" si="3"/>
        <v>0.95481569560047563</v>
      </c>
      <c r="N17" s="12">
        <f t="shared" si="3"/>
        <v>0.95476190476190481</v>
      </c>
      <c r="O17" s="13">
        <f t="shared" si="3"/>
        <v>0.95372955723972874</v>
      </c>
      <c r="V17" s="9"/>
      <c r="W17" s="10"/>
      <c r="X17" s="10"/>
    </row>
    <row r="18" spans="1:24" ht="24.75" customHeight="1" x14ac:dyDescent="0.25">
      <c r="A18" s="189" t="s">
        <v>37</v>
      </c>
      <c r="B18" s="39" t="s">
        <v>259</v>
      </c>
      <c r="C18" s="23">
        <f>+'NATAGA-18'!D$7</f>
        <v>787</v>
      </c>
      <c r="D18" s="23">
        <f>+'NATAGA-18'!E$7</f>
        <v>790</v>
      </c>
      <c r="E18" s="23">
        <f>+'NATAGA-18'!F$7</f>
        <v>794</v>
      </c>
      <c r="F18" s="23">
        <f>+'NATAGA-18'!G$7</f>
        <v>794</v>
      </c>
      <c r="G18" s="23">
        <f>+'NATAGA-18'!H$7</f>
        <v>797</v>
      </c>
      <c r="H18" s="23">
        <f>+'NATAGA-18'!I$7</f>
        <v>797</v>
      </c>
      <c r="I18" s="23">
        <f>+'NATAGA-18'!J$7</f>
        <v>798</v>
      </c>
      <c r="J18" s="23">
        <f>+'NATAGA-18'!K$7</f>
        <v>799</v>
      </c>
      <c r="K18" s="23">
        <f>+'NATAGA-18'!L$7</f>
        <v>801</v>
      </c>
      <c r="L18" s="23">
        <f>+'NATAGA-18'!M$7</f>
        <v>802</v>
      </c>
      <c r="M18" s="23">
        <f>+'NATAGA-18'!N$7</f>
        <v>803</v>
      </c>
      <c r="N18" s="23">
        <f>+'NATAGA-18'!O$7</f>
        <v>802</v>
      </c>
      <c r="O18" s="24">
        <f>SUM(C18:N18)</f>
        <v>9564</v>
      </c>
      <c r="V18" s="9"/>
      <c r="W18" s="10"/>
      <c r="X18" s="10"/>
    </row>
    <row r="19" spans="1:24" ht="12.75" customHeight="1" x14ac:dyDescent="0.25">
      <c r="A19" s="189"/>
      <c r="B19" s="39" t="s">
        <v>136</v>
      </c>
      <c r="C19" s="23">
        <f>+'05'!C19</f>
        <v>826</v>
      </c>
      <c r="D19" s="23">
        <f>+'05'!D19</f>
        <v>829</v>
      </c>
      <c r="E19" s="23">
        <f>+'05'!E19</f>
        <v>833</v>
      </c>
      <c r="F19" s="23">
        <f>+'05'!F19</f>
        <v>833</v>
      </c>
      <c r="G19" s="23">
        <f>+'05'!G19</f>
        <v>836</v>
      </c>
      <c r="H19" s="23">
        <f>+'05'!H19</f>
        <v>836</v>
      </c>
      <c r="I19" s="23">
        <f>+'05'!I19</f>
        <v>838</v>
      </c>
      <c r="J19" s="23">
        <f>+'05'!J19</f>
        <v>837</v>
      </c>
      <c r="K19" s="23">
        <f>+'05'!K19</f>
        <v>839</v>
      </c>
      <c r="L19" s="23">
        <f>+'05'!L19</f>
        <v>840</v>
      </c>
      <c r="M19" s="23">
        <f>+'05'!M19</f>
        <v>841</v>
      </c>
      <c r="N19" s="23">
        <f>+'05'!N19</f>
        <v>840</v>
      </c>
      <c r="O19" s="24">
        <f>SUM(C19:N19)</f>
        <v>10028</v>
      </c>
      <c r="V19" s="9"/>
      <c r="W19" s="10"/>
      <c r="X19" s="10"/>
    </row>
    <row r="20" spans="1:24" ht="17.25" customHeight="1" x14ac:dyDescent="0.25">
      <c r="A20" s="189"/>
      <c r="B20" s="13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19"/>
      <c r="V20" s="9"/>
      <c r="W20" s="10"/>
      <c r="X20" s="10"/>
    </row>
    <row r="21" spans="1:24" ht="18" customHeight="1" thickBot="1" x14ac:dyDescent="0.3">
      <c r="A21" s="190"/>
      <c r="B21" s="136" t="s">
        <v>3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20"/>
      <c r="V21" s="9"/>
      <c r="W21" s="10"/>
      <c r="X21" s="10"/>
    </row>
    <row r="22" spans="1:24" ht="14.25" customHeight="1" thickBot="1" x14ac:dyDescent="0.3">
      <c r="A22" s="191" t="s">
        <v>34</v>
      </c>
      <c r="B22" s="192"/>
      <c r="C22" s="193"/>
      <c r="D22" s="284" t="str">
        <f>'SET SP Nataga'!$G11</f>
        <v>Entre 80% y 100%</v>
      </c>
      <c r="E22" s="285"/>
      <c r="F22" s="285"/>
      <c r="G22" s="286"/>
      <c r="H22" s="180" t="str">
        <f>'SET SP Nataga'!$H11</f>
        <v>Entre 60% y 79%</v>
      </c>
      <c r="I22" s="181"/>
      <c r="J22" s="181"/>
      <c r="K22" s="182"/>
      <c r="L22" s="180" t="str">
        <f>'SET SP Nataga'!$I11</f>
        <v>Menor al 59%</v>
      </c>
      <c r="M22" s="185"/>
      <c r="N22" s="185"/>
      <c r="O22" s="186"/>
      <c r="V22" s="9"/>
      <c r="W22" s="10"/>
      <c r="X22" s="10"/>
    </row>
    <row r="23" spans="1:24" ht="33" customHeight="1" thickBot="1" x14ac:dyDescent="0.3">
      <c r="A23" s="194"/>
      <c r="B23" s="195"/>
      <c r="C23" s="195"/>
      <c r="D23" s="196" t="s">
        <v>7</v>
      </c>
      <c r="E23" s="196"/>
      <c r="F23" s="196"/>
      <c r="G23" s="196"/>
      <c r="H23" s="197" t="s">
        <v>61</v>
      </c>
      <c r="I23" s="197"/>
      <c r="J23" s="197"/>
      <c r="K23" s="197"/>
      <c r="L23" s="211" t="s">
        <v>62</v>
      </c>
      <c r="M23" s="211"/>
      <c r="N23" s="211"/>
      <c r="O23" s="212"/>
      <c r="V23" s="9"/>
      <c r="W23" s="10"/>
      <c r="X23" s="10"/>
    </row>
    <row r="24" spans="1:24" ht="15.75" customHeight="1" thickBot="1" x14ac:dyDescent="0.3">
      <c r="A24" s="213" t="s">
        <v>36</v>
      </c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5"/>
      <c r="V24" s="9"/>
      <c r="W24" s="10"/>
      <c r="X24" s="10"/>
    </row>
    <row r="25" spans="1:24" ht="264.75" customHeight="1" thickBot="1" x14ac:dyDescent="0.3">
      <c r="A25" s="177"/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9"/>
      <c r="V25" s="9"/>
    </row>
    <row r="26" spans="1:24" ht="15" customHeight="1" x14ac:dyDescent="0.25">
      <c r="A26" s="198" t="s">
        <v>58</v>
      </c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200" t="s">
        <v>60</v>
      </c>
      <c r="O26" s="201"/>
    </row>
    <row r="27" spans="1:24" ht="15" x14ac:dyDescent="0.25">
      <c r="A27" s="202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41">
        <v>43101</v>
      </c>
      <c r="O27" s="242"/>
    </row>
    <row r="28" spans="1:24" ht="15" x14ac:dyDescent="0.25">
      <c r="A28" s="202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41">
        <v>43132</v>
      </c>
      <c r="O28" s="242"/>
    </row>
    <row r="29" spans="1:24" ht="15" customHeight="1" x14ac:dyDescent="0.25">
      <c r="A29" s="202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41">
        <v>43160</v>
      </c>
      <c r="O29" s="242"/>
    </row>
    <row r="30" spans="1:24" ht="15" x14ac:dyDescent="0.25">
      <c r="A30" s="202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41">
        <v>43191</v>
      </c>
      <c r="O30" s="242"/>
    </row>
    <row r="31" spans="1:24" ht="15" customHeight="1" x14ac:dyDescent="0.25">
      <c r="A31" s="202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41">
        <v>43221</v>
      </c>
      <c r="O31" s="242"/>
    </row>
    <row r="32" spans="1:24" ht="15" x14ac:dyDescent="0.25">
      <c r="A32" s="202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41">
        <v>43252</v>
      </c>
      <c r="O32" s="242"/>
    </row>
    <row r="33" spans="1:17" ht="15" x14ac:dyDescent="0.25">
      <c r="A33" s="202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41">
        <v>43282</v>
      </c>
      <c r="O33" s="242"/>
    </row>
    <row r="34" spans="1:17" ht="15" x14ac:dyDescent="0.25">
      <c r="A34" s="202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41">
        <v>43313</v>
      </c>
      <c r="O34" s="242"/>
    </row>
    <row r="35" spans="1:17" ht="15" x14ac:dyDescent="0.25">
      <c r="A35" s="202"/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41">
        <v>43344</v>
      </c>
      <c r="O35" s="242"/>
    </row>
    <row r="36" spans="1:17" ht="15" x14ac:dyDescent="0.25">
      <c r="A36" s="202"/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41">
        <v>43374</v>
      </c>
      <c r="O36" s="242"/>
    </row>
    <row r="37" spans="1:17" ht="15" x14ac:dyDescent="0.25">
      <c r="A37" s="202"/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41">
        <v>43405</v>
      </c>
      <c r="O37" s="242"/>
    </row>
    <row r="38" spans="1:17" ht="15.75" thickBot="1" x14ac:dyDescent="0.3">
      <c r="A38" s="202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41">
        <v>43435</v>
      </c>
      <c r="O38" s="242"/>
    </row>
    <row r="39" spans="1:17" ht="25.5" customHeight="1" x14ac:dyDescent="0.25">
      <c r="A39" s="198" t="s">
        <v>59</v>
      </c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200" t="s">
        <v>60</v>
      </c>
      <c r="O39" s="201"/>
    </row>
    <row r="40" spans="1:17" ht="15" x14ac:dyDescent="0.25">
      <c r="A40" s="202" t="s">
        <v>3</v>
      </c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4"/>
      <c r="O40" s="205"/>
    </row>
    <row r="41" spans="1:17" ht="15.75" thickBot="1" x14ac:dyDescent="0.3">
      <c r="A41" s="273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5"/>
    </row>
    <row r="42" spans="1:17" ht="6" customHeight="1" x14ac:dyDescent="0.25">
      <c r="A42" s="176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</row>
    <row r="44" spans="1:17" ht="14.25" x14ac:dyDescent="0.2">
      <c r="Q44" s="48" t="s">
        <v>81</v>
      </c>
    </row>
    <row r="45" spans="1:17" ht="14.25" x14ac:dyDescent="0.2">
      <c r="Q45" s="48" t="s">
        <v>82</v>
      </c>
    </row>
    <row r="46" spans="1:17" ht="14.25" x14ac:dyDescent="0.2">
      <c r="Q46" s="48" t="s">
        <v>83</v>
      </c>
    </row>
    <row r="47" spans="1:17" ht="14.25" x14ac:dyDescent="0.2">
      <c r="Q47" s="48" t="s">
        <v>84</v>
      </c>
    </row>
    <row r="48" spans="1:17" ht="14.25" x14ac:dyDescent="0.2">
      <c r="Q48" s="48" t="s">
        <v>85</v>
      </c>
    </row>
    <row r="49" spans="17:17" ht="14.25" x14ac:dyDescent="0.2">
      <c r="Q49" s="48" t="s">
        <v>86</v>
      </c>
    </row>
    <row r="50" spans="17:17" ht="14.25" x14ac:dyDescent="0.2">
      <c r="Q50" s="48" t="s">
        <v>87</v>
      </c>
    </row>
    <row r="51" spans="17:17" ht="14.25" x14ac:dyDescent="0.2">
      <c r="Q51" s="48" t="s">
        <v>88</v>
      </c>
    </row>
    <row r="52" spans="17:17" ht="14.25" x14ac:dyDescent="0.2">
      <c r="Q52" s="48" t="s">
        <v>89</v>
      </c>
    </row>
    <row r="53" spans="17:17" ht="14.25" x14ac:dyDescent="0.2">
      <c r="Q53" s="48" t="s">
        <v>90</v>
      </c>
    </row>
    <row r="54" spans="17:17" ht="14.25" x14ac:dyDescent="0.2">
      <c r="Q54" s="48" t="s">
        <v>91</v>
      </c>
    </row>
    <row r="55" spans="17:17" ht="14.25" x14ac:dyDescent="0.2">
      <c r="Q55" s="48" t="s">
        <v>92</v>
      </c>
    </row>
    <row r="56" spans="17:17" ht="14.25" x14ac:dyDescent="0.2">
      <c r="Q56" s="48" t="s">
        <v>93</v>
      </c>
    </row>
    <row r="58" spans="17:17" x14ac:dyDescent="0.25">
      <c r="Q58" s="11">
        <v>0.92</v>
      </c>
    </row>
    <row r="59" spans="17:17" x14ac:dyDescent="0.25">
      <c r="Q59" s="11">
        <v>1</v>
      </c>
    </row>
  </sheetData>
  <sheetProtection algorithmName="SHA-512" hashValue="VimxGOEQiGePZI8hekDj9kLpMK1GPUFjq+1XSsscoGuUu6DqkjZc9O08unkGR+Ehc/M/RbuFYnZpjXjUpylc9g==" saltValue="+yRgxh5eSuhWdTkA+DUZUQ==" spinCount="100000" sheet="1" objects="1" scenarios="1"/>
  <mergeCells count="74">
    <mergeCell ref="N29:O29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A34:M34"/>
    <mergeCell ref="A35:M35"/>
    <mergeCell ref="A36:M36"/>
    <mergeCell ref="A37:M37"/>
    <mergeCell ref="A38:M38"/>
    <mergeCell ref="A29:M29"/>
    <mergeCell ref="A30:M30"/>
    <mergeCell ref="A31:M31"/>
    <mergeCell ref="A32:M32"/>
    <mergeCell ref="A33:M33"/>
    <mergeCell ref="A39:M39"/>
    <mergeCell ref="N39:O39"/>
    <mergeCell ref="A40:M40"/>
    <mergeCell ref="N40:O40"/>
    <mergeCell ref="J9:O9"/>
    <mergeCell ref="A26:M26"/>
    <mergeCell ref="N26:O26"/>
    <mergeCell ref="A27:M27"/>
    <mergeCell ref="N27:O27"/>
    <mergeCell ref="A15:B15"/>
    <mergeCell ref="A12:O12"/>
    <mergeCell ref="A13:O13"/>
    <mergeCell ref="A14:B14"/>
    <mergeCell ref="A9:D9"/>
    <mergeCell ref="F9:G9"/>
    <mergeCell ref="A10:O10"/>
    <mergeCell ref="A41:M41"/>
    <mergeCell ref="N41:O41"/>
    <mergeCell ref="A16:B16"/>
    <mergeCell ref="A17:B17"/>
    <mergeCell ref="A18:A21"/>
    <mergeCell ref="L22:O22"/>
    <mergeCell ref="D23:G23"/>
    <mergeCell ref="H23:K23"/>
    <mergeCell ref="L23:O23"/>
    <mergeCell ref="A24:O24"/>
    <mergeCell ref="A25:O25"/>
    <mergeCell ref="H22:K22"/>
    <mergeCell ref="A22:C23"/>
    <mergeCell ref="D22:G22"/>
    <mergeCell ref="A28:M28"/>
    <mergeCell ref="N28:O28"/>
    <mergeCell ref="A6:E6"/>
    <mergeCell ref="A7:D8"/>
    <mergeCell ref="E7:E8"/>
    <mergeCell ref="F7:G8"/>
    <mergeCell ref="H7:H8"/>
    <mergeCell ref="G6:O6"/>
    <mergeCell ref="A42:O42"/>
    <mergeCell ref="A4:E4"/>
    <mergeCell ref="F4:O4"/>
    <mergeCell ref="A1:C2"/>
    <mergeCell ref="D1:O1"/>
    <mergeCell ref="D2:O2"/>
    <mergeCell ref="A11:O11"/>
    <mergeCell ref="I7:I8"/>
    <mergeCell ref="A5:E5"/>
    <mergeCell ref="A3:E3"/>
    <mergeCell ref="F3:O3"/>
    <mergeCell ref="N8:O8"/>
    <mergeCell ref="F5:O5"/>
    <mergeCell ref="J7:K8"/>
    <mergeCell ref="L7:O7"/>
    <mergeCell ref="L8:M8"/>
  </mergeCells>
  <dataValidations count="1">
    <dataValidation type="list" allowBlank="1" showInputMessage="1" showErrorMessage="1" sqref="J9:O9">
      <formula1>$Q$44:$Q$56</formula1>
    </dataValidation>
  </dataValidations>
  <pageMargins left="0.39370078740157483" right="0.39370078740157483" top="0.35433070866141736" bottom="0.35433070866141736" header="0" footer="0"/>
  <pageSetup scale="73" orientation="portrait" horizontalDpi="4294967294" verticalDpi="4294967294" r:id="rId1"/>
  <headerFooter alignWithMargins="0">
    <oddFooter>&amp;R&amp;8Diseñado por: Wilson Andrade González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59"/>
  <sheetViews>
    <sheetView windowProtection="1" topLeftCell="A18" zoomScaleSheetLayoutView="72" workbookViewId="0">
      <selection activeCell="N27" sqref="N27:O38"/>
    </sheetView>
  </sheetViews>
  <sheetFormatPr baseColWidth="10" defaultRowHeight="12.75" x14ac:dyDescent="0.25"/>
  <cols>
    <col min="1" max="1" width="3.85546875" style="3" customWidth="1"/>
    <col min="2" max="2" width="26.85546875" style="3" customWidth="1"/>
    <col min="3" max="3" width="10.140625" style="3" customWidth="1"/>
    <col min="4" max="11" width="7.7109375" style="3" customWidth="1"/>
    <col min="12" max="12" width="8.28515625" style="3" customWidth="1"/>
    <col min="13" max="15" width="7.7109375" style="3" customWidth="1"/>
    <col min="16" max="16" width="8.85546875" style="3" customWidth="1"/>
    <col min="17" max="18" width="8.85546875" style="3" hidden="1" customWidth="1"/>
    <col min="19" max="19" width="8.85546875" style="3" customWidth="1"/>
    <col min="20" max="20" width="11.42578125" style="3" customWidth="1"/>
    <col min="21" max="21" width="9" style="3" customWidth="1"/>
    <col min="22" max="22" width="5.7109375" style="3" customWidth="1"/>
    <col min="23" max="23" width="10.42578125" style="3" customWidth="1"/>
    <col min="24" max="24" width="10" style="3" customWidth="1"/>
    <col min="25" max="257" width="11.42578125" style="3"/>
    <col min="258" max="258" width="26.85546875" style="3" customWidth="1"/>
    <col min="259" max="267" width="7.7109375" style="3" customWidth="1"/>
    <col min="268" max="268" width="8.28515625" style="3" customWidth="1"/>
    <col min="269" max="271" width="7.7109375" style="3" customWidth="1"/>
    <col min="272" max="513" width="11.42578125" style="3"/>
    <col min="514" max="514" width="26.85546875" style="3" customWidth="1"/>
    <col min="515" max="523" width="7.7109375" style="3" customWidth="1"/>
    <col min="524" max="524" width="8.28515625" style="3" customWidth="1"/>
    <col min="525" max="527" width="7.7109375" style="3" customWidth="1"/>
    <col min="528" max="769" width="11.42578125" style="3"/>
    <col min="770" max="770" width="26.85546875" style="3" customWidth="1"/>
    <col min="771" max="779" width="7.7109375" style="3" customWidth="1"/>
    <col min="780" max="780" width="8.28515625" style="3" customWidth="1"/>
    <col min="781" max="783" width="7.7109375" style="3" customWidth="1"/>
    <col min="784" max="1025" width="11.42578125" style="3"/>
    <col min="1026" max="1026" width="26.85546875" style="3" customWidth="1"/>
    <col min="1027" max="1035" width="7.7109375" style="3" customWidth="1"/>
    <col min="1036" max="1036" width="8.28515625" style="3" customWidth="1"/>
    <col min="1037" max="1039" width="7.7109375" style="3" customWidth="1"/>
    <col min="1040" max="1281" width="11.42578125" style="3"/>
    <col min="1282" max="1282" width="26.85546875" style="3" customWidth="1"/>
    <col min="1283" max="1291" width="7.7109375" style="3" customWidth="1"/>
    <col min="1292" max="1292" width="8.28515625" style="3" customWidth="1"/>
    <col min="1293" max="1295" width="7.7109375" style="3" customWidth="1"/>
    <col min="1296" max="1537" width="11.42578125" style="3"/>
    <col min="1538" max="1538" width="26.85546875" style="3" customWidth="1"/>
    <col min="1539" max="1547" width="7.7109375" style="3" customWidth="1"/>
    <col min="1548" max="1548" width="8.28515625" style="3" customWidth="1"/>
    <col min="1549" max="1551" width="7.7109375" style="3" customWidth="1"/>
    <col min="1552" max="1793" width="11.42578125" style="3"/>
    <col min="1794" max="1794" width="26.85546875" style="3" customWidth="1"/>
    <col min="1795" max="1803" width="7.7109375" style="3" customWidth="1"/>
    <col min="1804" max="1804" width="8.28515625" style="3" customWidth="1"/>
    <col min="1805" max="1807" width="7.7109375" style="3" customWidth="1"/>
    <col min="1808" max="2049" width="11.42578125" style="3"/>
    <col min="2050" max="2050" width="26.85546875" style="3" customWidth="1"/>
    <col min="2051" max="2059" width="7.7109375" style="3" customWidth="1"/>
    <col min="2060" max="2060" width="8.28515625" style="3" customWidth="1"/>
    <col min="2061" max="2063" width="7.7109375" style="3" customWidth="1"/>
    <col min="2064" max="2305" width="11.42578125" style="3"/>
    <col min="2306" max="2306" width="26.85546875" style="3" customWidth="1"/>
    <col min="2307" max="2315" width="7.7109375" style="3" customWidth="1"/>
    <col min="2316" max="2316" width="8.28515625" style="3" customWidth="1"/>
    <col min="2317" max="2319" width="7.7109375" style="3" customWidth="1"/>
    <col min="2320" max="2561" width="11.42578125" style="3"/>
    <col min="2562" max="2562" width="26.85546875" style="3" customWidth="1"/>
    <col min="2563" max="2571" width="7.7109375" style="3" customWidth="1"/>
    <col min="2572" max="2572" width="8.28515625" style="3" customWidth="1"/>
    <col min="2573" max="2575" width="7.7109375" style="3" customWidth="1"/>
    <col min="2576" max="2817" width="11.42578125" style="3"/>
    <col min="2818" max="2818" width="26.85546875" style="3" customWidth="1"/>
    <col min="2819" max="2827" width="7.7109375" style="3" customWidth="1"/>
    <col min="2828" max="2828" width="8.28515625" style="3" customWidth="1"/>
    <col min="2829" max="2831" width="7.7109375" style="3" customWidth="1"/>
    <col min="2832" max="3073" width="11.42578125" style="3"/>
    <col min="3074" max="3074" width="26.85546875" style="3" customWidth="1"/>
    <col min="3075" max="3083" width="7.7109375" style="3" customWidth="1"/>
    <col min="3084" max="3084" width="8.28515625" style="3" customWidth="1"/>
    <col min="3085" max="3087" width="7.7109375" style="3" customWidth="1"/>
    <col min="3088" max="3329" width="11.42578125" style="3"/>
    <col min="3330" max="3330" width="26.85546875" style="3" customWidth="1"/>
    <col min="3331" max="3339" width="7.7109375" style="3" customWidth="1"/>
    <col min="3340" max="3340" width="8.28515625" style="3" customWidth="1"/>
    <col min="3341" max="3343" width="7.7109375" style="3" customWidth="1"/>
    <col min="3344" max="3585" width="11.42578125" style="3"/>
    <col min="3586" max="3586" width="26.85546875" style="3" customWidth="1"/>
    <col min="3587" max="3595" width="7.7109375" style="3" customWidth="1"/>
    <col min="3596" max="3596" width="8.28515625" style="3" customWidth="1"/>
    <col min="3597" max="3599" width="7.7109375" style="3" customWidth="1"/>
    <col min="3600" max="3841" width="11.42578125" style="3"/>
    <col min="3842" max="3842" width="26.85546875" style="3" customWidth="1"/>
    <col min="3843" max="3851" width="7.7109375" style="3" customWidth="1"/>
    <col min="3852" max="3852" width="8.28515625" style="3" customWidth="1"/>
    <col min="3853" max="3855" width="7.7109375" style="3" customWidth="1"/>
    <col min="3856" max="4097" width="11.42578125" style="3"/>
    <col min="4098" max="4098" width="26.85546875" style="3" customWidth="1"/>
    <col min="4099" max="4107" width="7.7109375" style="3" customWidth="1"/>
    <col min="4108" max="4108" width="8.28515625" style="3" customWidth="1"/>
    <col min="4109" max="4111" width="7.7109375" style="3" customWidth="1"/>
    <col min="4112" max="4353" width="11.42578125" style="3"/>
    <col min="4354" max="4354" width="26.85546875" style="3" customWidth="1"/>
    <col min="4355" max="4363" width="7.7109375" style="3" customWidth="1"/>
    <col min="4364" max="4364" width="8.28515625" style="3" customWidth="1"/>
    <col min="4365" max="4367" width="7.7109375" style="3" customWidth="1"/>
    <col min="4368" max="4609" width="11.42578125" style="3"/>
    <col min="4610" max="4610" width="26.85546875" style="3" customWidth="1"/>
    <col min="4611" max="4619" width="7.7109375" style="3" customWidth="1"/>
    <col min="4620" max="4620" width="8.28515625" style="3" customWidth="1"/>
    <col min="4621" max="4623" width="7.7109375" style="3" customWidth="1"/>
    <col min="4624" max="4865" width="11.42578125" style="3"/>
    <col min="4866" max="4866" width="26.85546875" style="3" customWidth="1"/>
    <col min="4867" max="4875" width="7.7109375" style="3" customWidth="1"/>
    <col min="4876" max="4876" width="8.28515625" style="3" customWidth="1"/>
    <col min="4877" max="4879" width="7.7109375" style="3" customWidth="1"/>
    <col min="4880" max="5121" width="11.42578125" style="3"/>
    <col min="5122" max="5122" width="26.85546875" style="3" customWidth="1"/>
    <col min="5123" max="5131" width="7.7109375" style="3" customWidth="1"/>
    <col min="5132" max="5132" width="8.28515625" style="3" customWidth="1"/>
    <col min="5133" max="5135" width="7.7109375" style="3" customWidth="1"/>
    <col min="5136" max="5377" width="11.42578125" style="3"/>
    <col min="5378" max="5378" width="26.85546875" style="3" customWidth="1"/>
    <col min="5379" max="5387" width="7.7109375" style="3" customWidth="1"/>
    <col min="5388" max="5388" width="8.28515625" style="3" customWidth="1"/>
    <col min="5389" max="5391" width="7.7109375" style="3" customWidth="1"/>
    <col min="5392" max="5633" width="11.42578125" style="3"/>
    <col min="5634" max="5634" width="26.85546875" style="3" customWidth="1"/>
    <col min="5635" max="5643" width="7.7109375" style="3" customWidth="1"/>
    <col min="5644" max="5644" width="8.28515625" style="3" customWidth="1"/>
    <col min="5645" max="5647" width="7.7109375" style="3" customWidth="1"/>
    <col min="5648" max="5889" width="11.42578125" style="3"/>
    <col min="5890" max="5890" width="26.85546875" style="3" customWidth="1"/>
    <col min="5891" max="5899" width="7.7109375" style="3" customWidth="1"/>
    <col min="5900" max="5900" width="8.28515625" style="3" customWidth="1"/>
    <col min="5901" max="5903" width="7.7109375" style="3" customWidth="1"/>
    <col min="5904" max="6145" width="11.42578125" style="3"/>
    <col min="6146" max="6146" width="26.85546875" style="3" customWidth="1"/>
    <col min="6147" max="6155" width="7.7109375" style="3" customWidth="1"/>
    <col min="6156" max="6156" width="8.28515625" style="3" customWidth="1"/>
    <col min="6157" max="6159" width="7.7109375" style="3" customWidth="1"/>
    <col min="6160" max="6401" width="11.42578125" style="3"/>
    <col min="6402" max="6402" width="26.85546875" style="3" customWidth="1"/>
    <col min="6403" max="6411" width="7.7109375" style="3" customWidth="1"/>
    <col min="6412" max="6412" width="8.28515625" style="3" customWidth="1"/>
    <col min="6413" max="6415" width="7.7109375" style="3" customWidth="1"/>
    <col min="6416" max="6657" width="11.42578125" style="3"/>
    <col min="6658" max="6658" width="26.85546875" style="3" customWidth="1"/>
    <col min="6659" max="6667" width="7.7109375" style="3" customWidth="1"/>
    <col min="6668" max="6668" width="8.28515625" style="3" customWidth="1"/>
    <col min="6669" max="6671" width="7.7109375" style="3" customWidth="1"/>
    <col min="6672" max="6913" width="11.42578125" style="3"/>
    <col min="6914" max="6914" width="26.85546875" style="3" customWidth="1"/>
    <col min="6915" max="6923" width="7.7109375" style="3" customWidth="1"/>
    <col min="6924" max="6924" width="8.28515625" style="3" customWidth="1"/>
    <col min="6925" max="6927" width="7.7109375" style="3" customWidth="1"/>
    <col min="6928" max="7169" width="11.42578125" style="3"/>
    <col min="7170" max="7170" width="26.85546875" style="3" customWidth="1"/>
    <col min="7171" max="7179" width="7.7109375" style="3" customWidth="1"/>
    <col min="7180" max="7180" width="8.28515625" style="3" customWidth="1"/>
    <col min="7181" max="7183" width="7.7109375" style="3" customWidth="1"/>
    <col min="7184" max="7425" width="11.42578125" style="3"/>
    <col min="7426" max="7426" width="26.85546875" style="3" customWidth="1"/>
    <col min="7427" max="7435" width="7.7109375" style="3" customWidth="1"/>
    <col min="7436" max="7436" width="8.28515625" style="3" customWidth="1"/>
    <col min="7437" max="7439" width="7.7109375" style="3" customWidth="1"/>
    <col min="7440" max="7681" width="11.42578125" style="3"/>
    <col min="7682" max="7682" width="26.85546875" style="3" customWidth="1"/>
    <col min="7683" max="7691" width="7.7109375" style="3" customWidth="1"/>
    <col min="7692" max="7692" width="8.28515625" style="3" customWidth="1"/>
    <col min="7693" max="7695" width="7.7109375" style="3" customWidth="1"/>
    <col min="7696" max="7937" width="11.42578125" style="3"/>
    <col min="7938" max="7938" width="26.85546875" style="3" customWidth="1"/>
    <col min="7939" max="7947" width="7.7109375" style="3" customWidth="1"/>
    <col min="7948" max="7948" width="8.28515625" style="3" customWidth="1"/>
    <col min="7949" max="7951" width="7.7109375" style="3" customWidth="1"/>
    <col min="7952" max="8193" width="11.42578125" style="3"/>
    <col min="8194" max="8194" width="26.85546875" style="3" customWidth="1"/>
    <col min="8195" max="8203" width="7.7109375" style="3" customWidth="1"/>
    <col min="8204" max="8204" width="8.28515625" style="3" customWidth="1"/>
    <col min="8205" max="8207" width="7.7109375" style="3" customWidth="1"/>
    <col min="8208" max="8449" width="11.42578125" style="3"/>
    <col min="8450" max="8450" width="26.85546875" style="3" customWidth="1"/>
    <col min="8451" max="8459" width="7.7109375" style="3" customWidth="1"/>
    <col min="8460" max="8460" width="8.28515625" style="3" customWidth="1"/>
    <col min="8461" max="8463" width="7.7109375" style="3" customWidth="1"/>
    <col min="8464" max="8705" width="11.42578125" style="3"/>
    <col min="8706" max="8706" width="26.85546875" style="3" customWidth="1"/>
    <col min="8707" max="8715" width="7.7109375" style="3" customWidth="1"/>
    <col min="8716" max="8716" width="8.28515625" style="3" customWidth="1"/>
    <col min="8717" max="8719" width="7.7109375" style="3" customWidth="1"/>
    <col min="8720" max="8961" width="11.42578125" style="3"/>
    <col min="8962" max="8962" width="26.85546875" style="3" customWidth="1"/>
    <col min="8963" max="8971" width="7.7109375" style="3" customWidth="1"/>
    <col min="8972" max="8972" width="8.28515625" style="3" customWidth="1"/>
    <col min="8973" max="8975" width="7.7109375" style="3" customWidth="1"/>
    <col min="8976" max="9217" width="11.42578125" style="3"/>
    <col min="9218" max="9218" width="26.85546875" style="3" customWidth="1"/>
    <col min="9219" max="9227" width="7.7109375" style="3" customWidth="1"/>
    <col min="9228" max="9228" width="8.28515625" style="3" customWidth="1"/>
    <col min="9229" max="9231" width="7.7109375" style="3" customWidth="1"/>
    <col min="9232" max="9473" width="11.42578125" style="3"/>
    <col min="9474" max="9474" width="26.85546875" style="3" customWidth="1"/>
    <col min="9475" max="9483" width="7.7109375" style="3" customWidth="1"/>
    <col min="9484" max="9484" width="8.28515625" style="3" customWidth="1"/>
    <col min="9485" max="9487" width="7.7109375" style="3" customWidth="1"/>
    <col min="9488" max="9729" width="11.42578125" style="3"/>
    <col min="9730" max="9730" width="26.85546875" style="3" customWidth="1"/>
    <col min="9731" max="9739" width="7.7109375" style="3" customWidth="1"/>
    <col min="9740" max="9740" width="8.28515625" style="3" customWidth="1"/>
    <col min="9741" max="9743" width="7.7109375" style="3" customWidth="1"/>
    <col min="9744" max="9985" width="11.42578125" style="3"/>
    <col min="9986" max="9986" width="26.85546875" style="3" customWidth="1"/>
    <col min="9987" max="9995" width="7.7109375" style="3" customWidth="1"/>
    <col min="9996" max="9996" width="8.28515625" style="3" customWidth="1"/>
    <col min="9997" max="9999" width="7.7109375" style="3" customWidth="1"/>
    <col min="10000" max="10241" width="11.42578125" style="3"/>
    <col min="10242" max="10242" width="26.85546875" style="3" customWidth="1"/>
    <col min="10243" max="10251" width="7.7109375" style="3" customWidth="1"/>
    <col min="10252" max="10252" width="8.28515625" style="3" customWidth="1"/>
    <col min="10253" max="10255" width="7.7109375" style="3" customWidth="1"/>
    <col min="10256" max="10497" width="11.42578125" style="3"/>
    <col min="10498" max="10498" width="26.85546875" style="3" customWidth="1"/>
    <col min="10499" max="10507" width="7.7109375" style="3" customWidth="1"/>
    <col min="10508" max="10508" width="8.28515625" style="3" customWidth="1"/>
    <col min="10509" max="10511" width="7.7109375" style="3" customWidth="1"/>
    <col min="10512" max="10753" width="11.42578125" style="3"/>
    <col min="10754" max="10754" width="26.85546875" style="3" customWidth="1"/>
    <col min="10755" max="10763" width="7.7109375" style="3" customWidth="1"/>
    <col min="10764" max="10764" width="8.28515625" style="3" customWidth="1"/>
    <col min="10765" max="10767" width="7.7109375" style="3" customWidth="1"/>
    <col min="10768" max="11009" width="11.42578125" style="3"/>
    <col min="11010" max="11010" width="26.85546875" style="3" customWidth="1"/>
    <col min="11011" max="11019" width="7.7109375" style="3" customWidth="1"/>
    <col min="11020" max="11020" width="8.28515625" style="3" customWidth="1"/>
    <col min="11021" max="11023" width="7.7109375" style="3" customWidth="1"/>
    <col min="11024" max="11265" width="11.42578125" style="3"/>
    <col min="11266" max="11266" width="26.85546875" style="3" customWidth="1"/>
    <col min="11267" max="11275" width="7.7109375" style="3" customWidth="1"/>
    <col min="11276" max="11276" width="8.28515625" style="3" customWidth="1"/>
    <col min="11277" max="11279" width="7.7109375" style="3" customWidth="1"/>
    <col min="11280" max="11521" width="11.42578125" style="3"/>
    <col min="11522" max="11522" width="26.85546875" style="3" customWidth="1"/>
    <col min="11523" max="11531" width="7.7109375" style="3" customWidth="1"/>
    <col min="11532" max="11532" width="8.28515625" style="3" customWidth="1"/>
    <col min="11533" max="11535" width="7.7109375" style="3" customWidth="1"/>
    <col min="11536" max="11777" width="11.42578125" style="3"/>
    <col min="11778" max="11778" width="26.85546875" style="3" customWidth="1"/>
    <col min="11779" max="11787" width="7.7109375" style="3" customWidth="1"/>
    <col min="11788" max="11788" width="8.28515625" style="3" customWidth="1"/>
    <col min="11789" max="11791" width="7.7109375" style="3" customWidth="1"/>
    <col min="11792" max="12033" width="11.42578125" style="3"/>
    <col min="12034" max="12034" width="26.85546875" style="3" customWidth="1"/>
    <col min="12035" max="12043" width="7.7109375" style="3" customWidth="1"/>
    <col min="12044" max="12044" width="8.28515625" style="3" customWidth="1"/>
    <col min="12045" max="12047" width="7.7109375" style="3" customWidth="1"/>
    <col min="12048" max="12289" width="11.42578125" style="3"/>
    <col min="12290" max="12290" width="26.85546875" style="3" customWidth="1"/>
    <col min="12291" max="12299" width="7.7109375" style="3" customWidth="1"/>
    <col min="12300" max="12300" width="8.28515625" style="3" customWidth="1"/>
    <col min="12301" max="12303" width="7.7109375" style="3" customWidth="1"/>
    <col min="12304" max="12545" width="11.42578125" style="3"/>
    <col min="12546" max="12546" width="26.85546875" style="3" customWidth="1"/>
    <col min="12547" max="12555" width="7.7109375" style="3" customWidth="1"/>
    <col min="12556" max="12556" width="8.28515625" style="3" customWidth="1"/>
    <col min="12557" max="12559" width="7.7109375" style="3" customWidth="1"/>
    <col min="12560" max="12801" width="11.42578125" style="3"/>
    <col min="12802" max="12802" width="26.85546875" style="3" customWidth="1"/>
    <col min="12803" max="12811" width="7.7109375" style="3" customWidth="1"/>
    <col min="12812" max="12812" width="8.28515625" style="3" customWidth="1"/>
    <col min="12813" max="12815" width="7.7109375" style="3" customWidth="1"/>
    <col min="12816" max="13057" width="11.42578125" style="3"/>
    <col min="13058" max="13058" width="26.85546875" style="3" customWidth="1"/>
    <col min="13059" max="13067" width="7.7109375" style="3" customWidth="1"/>
    <col min="13068" max="13068" width="8.28515625" style="3" customWidth="1"/>
    <col min="13069" max="13071" width="7.7109375" style="3" customWidth="1"/>
    <col min="13072" max="13313" width="11.42578125" style="3"/>
    <col min="13314" max="13314" width="26.85546875" style="3" customWidth="1"/>
    <col min="13315" max="13323" width="7.7109375" style="3" customWidth="1"/>
    <col min="13324" max="13324" width="8.28515625" style="3" customWidth="1"/>
    <col min="13325" max="13327" width="7.7109375" style="3" customWidth="1"/>
    <col min="13328" max="13569" width="11.42578125" style="3"/>
    <col min="13570" max="13570" width="26.85546875" style="3" customWidth="1"/>
    <col min="13571" max="13579" width="7.7109375" style="3" customWidth="1"/>
    <col min="13580" max="13580" width="8.28515625" style="3" customWidth="1"/>
    <col min="13581" max="13583" width="7.7109375" style="3" customWidth="1"/>
    <col min="13584" max="13825" width="11.42578125" style="3"/>
    <col min="13826" max="13826" width="26.85546875" style="3" customWidth="1"/>
    <col min="13827" max="13835" width="7.7109375" style="3" customWidth="1"/>
    <col min="13836" max="13836" width="8.28515625" style="3" customWidth="1"/>
    <col min="13837" max="13839" width="7.7109375" style="3" customWidth="1"/>
    <col min="13840" max="14081" width="11.42578125" style="3"/>
    <col min="14082" max="14082" width="26.85546875" style="3" customWidth="1"/>
    <col min="14083" max="14091" width="7.7109375" style="3" customWidth="1"/>
    <col min="14092" max="14092" width="8.28515625" style="3" customWidth="1"/>
    <col min="14093" max="14095" width="7.7109375" style="3" customWidth="1"/>
    <col min="14096" max="14337" width="11.42578125" style="3"/>
    <col min="14338" max="14338" width="26.85546875" style="3" customWidth="1"/>
    <col min="14339" max="14347" width="7.7109375" style="3" customWidth="1"/>
    <col min="14348" max="14348" width="8.28515625" style="3" customWidth="1"/>
    <col min="14349" max="14351" width="7.7109375" style="3" customWidth="1"/>
    <col min="14352" max="14593" width="11.42578125" style="3"/>
    <col min="14594" max="14594" width="26.85546875" style="3" customWidth="1"/>
    <col min="14595" max="14603" width="7.7109375" style="3" customWidth="1"/>
    <col min="14604" max="14604" width="8.28515625" style="3" customWidth="1"/>
    <col min="14605" max="14607" width="7.7109375" style="3" customWidth="1"/>
    <col min="14608" max="14849" width="11.42578125" style="3"/>
    <col min="14850" max="14850" width="26.85546875" style="3" customWidth="1"/>
    <col min="14851" max="14859" width="7.7109375" style="3" customWidth="1"/>
    <col min="14860" max="14860" width="8.28515625" style="3" customWidth="1"/>
    <col min="14861" max="14863" width="7.7109375" style="3" customWidth="1"/>
    <col min="14864" max="15105" width="11.42578125" style="3"/>
    <col min="15106" max="15106" width="26.85546875" style="3" customWidth="1"/>
    <col min="15107" max="15115" width="7.7109375" style="3" customWidth="1"/>
    <col min="15116" max="15116" width="8.28515625" style="3" customWidth="1"/>
    <col min="15117" max="15119" width="7.7109375" style="3" customWidth="1"/>
    <col min="15120" max="15361" width="11.42578125" style="3"/>
    <col min="15362" max="15362" width="26.85546875" style="3" customWidth="1"/>
    <col min="15363" max="15371" width="7.7109375" style="3" customWidth="1"/>
    <col min="15372" max="15372" width="8.28515625" style="3" customWidth="1"/>
    <col min="15373" max="15375" width="7.7109375" style="3" customWidth="1"/>
    <col min="15376" max="15617" width="11.42578125" style="3"/>
    <col min="15618" max="15618" width="26.85546875" style="3" customWidth="1"/>
    <col min="15619" max="15627" width="7.7109375" style="3" customWidth="1"/>
    <col min="15628" max="15628" width="8.28515625" style="3" customWidth="1"/>
    <col min="15629" max="15631" width="7.7109375" style="3" customWidth="1"/>
    <col min="15632" max="15873" width="11.42578125" style="3"/>
    <col min="15874" max="15874" width="26.85546875" style="3" customWidth="1"/>
    <col min="15875" max="15883" width="7.7109375" style="3" customWidth="1"/>
    <col min="15884" max="15884" width="8.28515625" style="3" customWidth="1"/>
    <col min="15885" max="15887" width="7.7109375" style="3" customWidth="1"/>
    <col min="15888" max="16129" width="11.42578125" style="3"/>
    <col min="16130" max="16130" width="26.85546875" style="3" customWidth="1"/>
    <col min="16131" max="16139" width="7.7109375" style="3" customWidth="1"/>
    <col min="16140" max="16140" width="8.28515625" style="3" customWidth="1"/>
    <col min="16141" max="16143" width="7.7109375" style="3" customWidth="1"/>
    <col min="16144" max="16384" width="11.42578125" style="3"/>
  </cols>
  <sheetData>
    <row r="1" spans="1:24" ht="20.25" customHeight="1" x14ac:dyDescent="0.25">
      <c r="A1" s="247"/>
      <c r="B1" s="248"/>
      <c r="C1" s="249"/>
      <c r="D1" s="243" t="s">
        <v>20</v>
      </c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4"/>
    </row>
    <row r="2" spans="1:24" ht="15.75" customHeight="1" thickBot="1" x14ac:dyDescent="0.3">
      <c r="A2" s="250"/>
      <c r="B2" s="251"/>
      <c r="C2" s="252"/>
      <c r="D2" s="245" t="s">
        <v>67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6"/>
    </row>
    <row r="3" spans="1:24" ht="13.5" customHeight="1" x14ac:dyDescent="0.25">
      <c r="A3" s="253" t="s">
        <v>0</v>
      </c>
      <c r="B3" s="254"/>
      <c r="C3" s="254"/>
      <c r="D3" s="254"/>
      <c r="E3" s="254"/>
      <c r="F3" s="254" t="str">
        <f>'SET SP Nataga'!J3</f>
        <v>GESTIÓN DE SERVICIOS PÚBLICOS - NATAGA</v>
      </c>
      <c r="G3" s="254"/>
      <c r="H3" s="254"/>
      <c r="I3" s="254"/>
      <c r="J3" s="254"/>
      <c r="K3" s="254"/>
      <c r="L3" s="254"/>
      <c r="M3" s="254"/>
      <c r="N3" s="254"/>
      <c r="O3" s="255"/>
    </row>
    <row r="4" spans="1:24" ht="15.75" customHeight="1" x14ac:dyDescent="0.25">
      <c r="A4" s="235" t="s">
        <v>1</v>
      </c>
      <c r="B4" s="236"/>
      <c r="C4" s="236"/>
      <c r="D4" s="236"/>
      <c r="E4" s="236"/>
      <c r="F4" s="256" t="str">
        <f>'SET SP Nataga'!$B12</f>
        <v xml:space="preserve">Cobertura   (Servicio de Aseo) </v>
      </c>
      <c r="G4" s="256"/>
      <c r="H4" s="256"/>
      <c r="I4" s="256"/>
      <c r="J4" s="256"/>
      <c r="K4" s="256"/>
      <c r="L4" s="256"/>
      <c r="M4" s="256"/>
      <c r="N4" s="256"/>
      <c r="O4" s="277"/>
    </row>
    <row r="5" spans="1:24" ht="15.75" customHeight="1" x14ac:dyDescent="0.25">
      <c r="A5" s="235" t="s">
        <v>55</v>
      </c>
      <c r="B5" s="236"/>
      <c r="C5" s="236"/>
      <c r="D5" s="236"/>
      <c r="E5" s="236"/>
      <c r="F5" s="238" t="str">
        <f>'SET SP Nataga'!F12</f>
        <v xml:space="preserve">Eficiencia </v>
      </c>
      <c r="G5" s="239"/>
      <c r="H5" s="239"/>
      <c r="I5" s="239"/>
      <c r="J5" s="239"/>
      <c r="K5" s="239"/>
      <c r="L5" s="239"/>
      <c r="M5" s="239"/>
      <c r="N5" s="239"/>
      <c r="O5" s="240"/>
    </row>
    <row r="6" spans="1:24" ht="17.25" customHeight="1" thickBot="1" x14ac:dyDescent="0.3">
      <c r="A6" s="259" t="s">
        <v>21</v>
      </c>
      <c r="B6" s="260"/>
      <c r="C6" s="260"/>
      <c r="D6" s="260"/>
      <c r="E6" s="260"/>
      <c r="F6" s="26" t="s">
        <v>94</v>
      </c>
      <c r="G6" s="261" t="str">
        <f>'SET SP Nataga'!A12</f>
        <v>IN07</v>
      </c>
      <c r="H6" s="261"/>
      <c r="I6" s="261"/>
      <c r="J6" s="261"/>
      <c r="K6" s="261"/>
      <c r="L6" s="261"/>
      <c r="M6" s="261"/>
      <c r="N6" s="261"/>
      <c r="O6" s="276"/>
    </row>
    <row r="7" spans="1:24" ht="12.75" customHeight="1" x14ac:dyDescent="0.25">
      <c r="A7" s="264" t="s">
        <v>22</v>
      </c>
      <c r="B7" s="265"/>
      <c r="C7" s="265"/>
      <c r="D7" s="265"/>
      <c r="E7" s="230" t="s">
        <v>23</v>
      </c>
      <c r="F7" s="230" t="s">
        <v>24</v>
      </c>
      <c r="G7" s="230"/>
      <c r="H7" s="230" t="s">
        <v>25</v>
      </c>
      <c r="I7" s="230" t="s">
        <v>26</v>
      </c>
      <c r="J7" s="230" t="s">
        <v>27</v>
      </c>
      <c r="K7" s="230"/>
      <c r="L7" s="232" t="s">
        <v>28</v>
      </c>
      <c r="M7" s="232"/>
      <c r="N7" s="232"/>
      <c r="O7" s="233"/>
    </row>
    <row r="8" spans="1:24" ht="46.5" customHeight="1" x14ac:dyDescent="0.25">
      <c r="A8" s="266"/>
      <c r="B8" s="234"/>
      <c r="C8" s="234"/>
      <c r="D8" s="234"/>
      <c r="E8" s="231"/>
      <c r="F8" s="231"/>
      <c r="G8" s="231"/>
      <c r="H8" s="231"/>
      <c r="I8" s="231"/>
      <c r="J8" s="231"/>
      <c r="K8" s="231"/>
      <c r="L8" s="234" t="s">
        <v>29</v>
      </c>
      <c r="M8" s="234"/>
      <c r="N8" s="234" t="s">
        <v>30</v>
      </c>
      <c r="O8" s="237"/>
    </row>
    <row r="9" spans="1:24" ht="48.75" customHeight="1" thickBot="1" x14ac:dyDescent="0.3">
      <c r="A9" s="206" t="str">
        <f>'SET SP Nataga'!$C12</f>
        <v xml:space="preserve">Medir el grado de cobertura en   la prestación del servicio de aseo administrado  por Aguas del Huila. </v>
      </c>
      <c r="B9" s="207"/>
      <c r="C9" s="207"/>
      <c r="D9" s="207"/>
      <c r="E9" s="17" t="s">
        <v>35</v>
      </c>
      <c r="F9" s="207" t="str">
        <f>'SET SP Nataga'!$D12</f>
        <v xml:space="preserve">(Residuos sólidos recolectada / Residuos sólidos producidos) x 100%           </v>
      </c>
      <c r="G9" s="207"/>
      <c r="H9" s="22">
        <f>$O16</f>
        <v>0</v>
      </c>
      <c r="I9" s="16" t="str">
        <f>'SET SP Nataga'!$E12</f>
        <v>Trimestral</v>
      </c>
      <c r="J9" s="208" t="s">
        <v>89</v>
      </c>
      <c r="K9" s="209"/>
      <c r="L9" s="209"/>
      <c r="M9" s="209"/>
      <c r="N9" s="209"/>
      <c r="O9" s="210"/>
    </row>
    <row r="10" spans="1:24" ht="13.5" customHeight="1" x14ac:dyDescent="0.25">
      <c r="A10" s="216" t="s">
        <v>38</v>
      </c>
      <c r="B10" s="217"/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8"/>
    </row>
    <row r="11" spans="1:24" ht="18.75" customHeight="1" thickBot="1" x14ac:dyDescent="0.3">
      <c r="A11" s="219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1"/>
    </row>
    <row r="12" spans="1:24" ht="15" customHeight="1" thickBot="1" x14ac:dyDescent="0.3">
      <c r="A12" s="222" t="s">
        <v>31</v>
      </c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4"/>
      <c r="V12" s="9"/>
      <c r="W12" s="8"/>
      <c r="X12" s="8"/>
    </row>
    <row r="13" spans="1:24" ht="16.5" customHeight="1" x14ac:dyDescent="0.25">
      <c r="A13" s="225" t="s">
        <v>273</v>
      </c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7"/>
      <c r="V13" s="9"/>
      <c r="W13" s="10"/>
      <c r="X13" s="10"/>
    </row>
    <row r="14" spans="1:24" ht="16.5" customHeight="1" x14ac:dyDescent="0.25">
      <c r="A14" s="228" t="s">
        <v>32</v>
      </c>
      <c r="B14" s="229"/>
      <c r="C14" s="135" t="s">
        <v>8</v>
      </c>
      <c r="D14" s="135" t="s">
        <v>9</v>
      </c>
      <c r="E14" s="135" t="s">
        <v>10</v>
      </c>
      <c r="F14" s="135" t="s">
        <v>11</v>
      </c>
      <c r="G14" s="135" t="s">
        <v>12</v>
      </c>
      <c r="H14" s="135" t="s">
        <v>13</v>
      </c>
      <c r="I14" s="135" t="s">
        <v>14</v>
      </c>
      <c r="J14" s="135" t="s">
        <v>15</v>
      </c>
      <c r="K14" s="135" t="s">
        <v>16</v>
      </c>
      <c r="L14" s="135" t="s">
        <v>17</v>
      </c>
      <c r="M14" s="135" t="s">
        <v>18</v>
      </c>
      <c r="N14" s="135" t="s">
        <v>19</v>
      </c>
      <c r="O14" s="6" t="s">
        <v>33</v>
      </c>
      <c r="V14" s="9"/>
      <c r="W14" s="10"/>
      <c r="X14" s="10"/>
    </row>
    <row r="15" spans="1:24" ht="16.5" customHeight="1" x14ac:dyDescent="0.25">
      <c r="A15" s="183" t="s">
        <v>39</v>
      </c>
      <c r="B15" s="184"/>
      <c r="C15" s="139">
        <f t="shared" ref="C15:N15" si="0">$O$15</f>
        <v>0</v>
      </c>
      <c r="D15" s="139">
        <f t="shared" si="0"/>
        <v>0</v>
      </c>
      <c r="E15" s="139">
        <f t="shared" si="0"/>
        <v>0</v>
      </c>
      <c r="F15" s="139">
        <f t="shared" si="0"/>
        <v>0</v>
      </c>
      <c r="G15" s="139">
        <f t="shared" si="0"/>
        <v>0</v>
      </c>
      <c r="H15" s="139">
        <f t="shared" si="0"/>
        <v>0</v>
      </c>
      <c r="I15" s="139">
        <f t="shared" si="0"/>
        <v>0</v>
      </c>
      <c r="J15" s="139">
        <f t="shared" si="0"/>
        <v>0</v>
      </c>
      <c r="K15" s="139">
        <f t="shared" si="0"/>
        <v>0</v>
      </c>
      <c r="L15" s="139">
        <f t="shared" si="0"/>
        <v>0</v>
      </c>
      <c r="M15" s="139">
        <f t="shared" si="0"/>
        <v>0</v>
      </c>
      <c r="N15" s="139">
        <f t="shared" si="0"/>
        <v>0</v>
      </c>
      <c r="O15" s="146">
        <f>'SET SP Nataga'!J12</f>
        <v>0</v>
      </c>
      <c r="V15" s="9"/>
      <c r="W15" s="10"/>
      <c r="X15" s="10"/>
    </row>
    <row r="16" spans="1:24" ht="17.25" customHeight="1" x14ac:dyDescent="0.25">
      <c r="A16" s="183" t="s">
        <v>272</v>
      </c>
      <c r="B16" s="184"/>
      <c r="C16" s="139">
        <f t="shared" ref="C16:N16" si="1">$O$16</f>
        <v>0</v>
      </c>
      <c r="D16" s="139">
        <f t="shared" si="1"/>
        <v>0</v>
      </c>
      <c r="E16" s="139">
        <f t="shared" si="1"/>
        <v>0</v>
      </c>
      <c r="F16" s="139">
        <f t="shared" si="1"/>
        <v>0</v>
      </c>
      <c r="G16" s="139">
        <f t="shared" si="1"/>
        <v>0</v>
      </c>
      <c r="H16" s="139">
        <f t="shared" si="1"/>
        <v>0</v>
      </c>
      <c r="I16" s="139">
        <f t="shared" si="1"/>
        <v>0</v>
      </c>
      <c r="J16" s="139">
        <f t="shared" si="1"/>
        <v>0</v>
      </c>
      <c r="K16" s="139">
        <f t="shared" si="1"/>
        <v>0</v>
      </c>
      <c r="L16" s="139">
        <f t="shared" si="1"/>
        <v>0</v>
      </c>
      <c r="M16" s="139">
        <f t="shared" si="1"/>
        <v>0</v>
      </c>
      <c r="N16" s="139">
        <f t="shared" si="1"/>
        <v>0</v>
      </c>
      <c r="O16" s="146">
        <f>'SET SP Nataga'!K12</f>
        <v>0</v>
      </c>
      <c r="V16" s="9"/>
      <c r="W16" s="10"/>
      <c r="X16" s="10"/>
    </row>
    <row r="17" spans="1:24" ht="17.25" customHeight="1" x14ac:dyDescent="0.25">
      <c r="A17" s="187" t="s">
        <v>263</v>
      </c>
      <c r="B17" s="188"/>
      <c r="C17" s="12">
        <f>IF(ISNUMBER(C19),C18/C19,"-")</f>
        <v>0.9552058111380145</v>
      </c>
      <c r="D17" s="12">
        <f t="shared" ref="D17:O17" si="2">IF(ISNUMBER(D19),D18/D19,"-")</f>
        <v>0.95536791314837144</v>
      </c>
      <c r="E17" s="12">
        <f t="shared" si="2"/>
        <v>0.95558223289315714</v>
      </c>
      <c r="F17" s="12">
        <f t="shared" si="2"/>
        <v>0.95558223289315725</v>
      </c>
      <c r="G17" s="12">
        <f t="shared" si="2"/>
        <v>0.95574162679425834</v>
      </c>
      <c r="H17" s="12">
        <f t="shared" si="2"/>
        <v>0.95574162679425823</v>
      </c>
      <c r="I17" s="12">
        <f t="shared" si="2"/>
        <v>0.95346062052505953</v>
      </c>
      <c r="J17" s="12">
        <f t="shared" si="2"/>
        <v>0.95579450418160095</v>
      </c>
      <c r="K17" s="12">
        <f t="shared" si="2"/>
        <v>0.95589988081048871</v>
      </c>
      <c r="L17" s="12">
        <f t="shared" si="2"/>
        <v>0.955952380952381</v>
      </c>
      <c r="M17" s="12">
        <f t="shared" si="2"/>
        <v>0.95600475624256842</v>
      </c>
      <c r="N17" s="12">
        <f t="shared" si="2"/>
        <v>0.955952380952381</v>
      </c>
      <c r="O17" s="13">
        <f t="shared" si="2"/>
        <v>0.95547430293594426</v>
      </c>
      <c r="V17" s="9"/>
      <c r="W17" s="10"/>
      <c r="X17" s="10"/>
    </row>
    <row r="18" spans="1:24" ht="17.25" customHeight="1" x14ac:dyDescent="0.25">
      <c r="A18" s="189" t="s">
        <v>37</v>
      </c>
      <c r="B18" s="39" t="s">
        <v>137</v>
      </c>
      <c r="C18" s="4">
        <f>'NATAGA-18'!D36</f>
        <v>31.87</v>
      </c>
      <c r="D18" s="4">
        <f>'NATAGA-18'!E36</f>
        <v>18.54</v>
      </c>
      <c r="E18" s="4">
        <f>'NATAGA-18'!F36</f>
        <v>17.079999999999998</v>
      </c>
      <c r="F18" s="4">
        <f>'NATAGA-18'!G36</f>
        <v>10.32</v>
      </c>
      <c r="G18" s="4">
        <f>'NATAGA-18'!H36</f>
        <v>25.88</v>
      </c>
      <c r="H18" s="4">
        <f>'NATAGA-18'!I36</f>
        <v>25.58</v>
      </c>
      <c r="I18" s="4">
        <f>'NATAGA-18'!J36</f>
        <v>32.28</v>
      </c>
      <c r="J18" s="4">
        <f>'NATAGA-18'!K36</f>
        <v>27.58</v>
      </c>
      <c r="K18" s="4">
        <f>'NATAGA-18'!L36</f>
        <v>23.44</v>
      </c>
      <c r="L18" s="4">
        <f>'NATAGA-18'!M36</f>
        <v>26.39</v>
      </c>
      <c r="M18" s="4">
        <f>'NATAGA-18'!N36</f>
        <v>26.57</v>
      </c>
      <c r="N18" s="4">
        <f>'NATAGA-18'!O36</f>
        <v>28.18</v>
      </c>
      <c r="O18" s="19">
        <f>SUM(C18:N18)</f>
        <v>293.70999999999998</v>
      </c>
      <c r="V18" s="9"/>
      <c r="W18" s="10"/>
      <c r="X18" s="10"/>
    </row>
    <row r="19" spans="1:24" ht="17.25" customHeight="1" x14ac:dyDescent="0.25">
      <c r="A19" s="189"/>
      <c r="B19" s="39" t="s">
        <v>138</v>
      </c>
      <c r="C19" s="75">
        <f>IF('NATAGA-18'!D55,C18/'NATAGA-18'!D55,"0")</f>
        <v>33.364537389100128</v>
      </c>
      <c r="D19" s="75">
        <f>IF('NATAGA-18'!E55,D18/'NATAGA-18'!E55,"0")</f>
        <v>19.406136363636364</v>
      </c>
      <c r="E19" s="75">
        <f>IF('NATAGA-18'!F55,E18/'NATAGA-18'!F55,"0")</f>
        <v>17.87391959798995</v>
      </c>
      <c r="F19" s="75">
        <f>IF('NATAGA-18'!G55,F18/'NATAGA-18'!G55,"0")</f>
        <v>10.799698492462312</v>
      </c>
      <c r="G19" s="75">
        <f>IF('NATAGA-18'!H55,G18/'NATAGA-18'!H55,"0")</f>
        <v>27.078448060075093</v>
      </c>
      <c r="H19" s="75">
        <f>IF('NATAGA-18'!I55,H18/'NATAGA-18'!I55,"0")</f>
        <v>26.764555694618274</v>
      </c>
      <c r="I19" s="75">
        <f>IF('NATAGA-18'!J55,I18/'NATAGA-18'!J55,"0")</f>
        <v>33.855619524405512</v>
      </c>
      <c r="J19" s="75">
        <f>IF('NATAGA-18'!K55,J18/'NATAGA-18'!K55,"0")</f>
        <v>28.855574999999998</v>
      </c>
      <c r="K19" s="75">
        <f>IF('NATAGA-18'!L55,K18/'NATAGA-18'!L55,"0")</f>
        <v>24.521396508728181</v>
      </c>
      <c r="L19" s="75">
        <f>IF('NATAGA-18'!M55,L18/'NATAGA-18'!M55,"0")</f>
        <v>27.605977584059776</v>
      </c>
      <c r="M19" s="75">
        <f>IF('NATAGA-18'!N55,M18/'NATAGA-18'!N55,"0")</f>
        <v>27.792748756218906</v>
      </c>
      <c r="N19" s="75">
        <f>IF('NATAGA-18'!O55,N18/'NATAGA-18'!O55,"0")</f>
        <v>29.478455790784555</v>
      </c>
      <c r="O19" s="19">
        <f>SUM(C19:N19)</f>
        <v>307.39706876207902</v>
      </c>
      <c r="V19" s="9"/>
      <c r="W19" s="10"/>
      <c r="X19" s="10"/>
    </row>
    <row r="20" spans="1:24" ht="15" customHeight="1" x14ac:dyDescent="0.25">
      <c r="A20" s="287"/>
      <c r="B20" s="71"/>
      <c r="C20" s="74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21"/>
      <c r="V20" s="9"/>
      <c r="W20" s="10"/>
      <c r="X20" s="10"/>
    </row>
    <row r="21" spans="1:24" ht="13.5" customHeight="1" thickBot="1" x14ac:dyDescent="0.3">
      <c r="A21" s="190"/>
      <c r="B21" s="136" t="s">
        <v>3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20"/>
      <c r="V21" s="9"/>
      <c r="W21" s="10"/>
      <c r="X21" s="10"/>
    </row>
    <row r="22" spans="1:24" ht="14.25" customHeight="1" thickBot="1" x14ac:dyDescent="0.3">
      <c r="A22" s="191" t="s">
        <v>34</v>
      </c>
      <c r="B22" s="192"/>
      <c r="C22" s="193"/>
      <c r="D22" s="180" t="str">
        <f>'SET SP Nataga'!$G12</f>
        <v>Entre 80% y 100%</v>
      </c>
      <c r="E22" s="181"/>
      <c r="F22" s="181"/>
      <c r="G22" s="182"/>
      <c r="H22" s="180" t="str">
        <f>'SET SP Nataga'!$H12</f>
        <v>Entre 60% y 79%</v>
      </c>
      <c r="I22" s="181"/>
      <c r="J22" s="181"/>
      <c r="K22" s="182"/>
      <c r="L22" s="180" t="str">
        <f>'SET SP Nataga'!$I12</f>
        <v>Menor al 59%</v>
      </c>
      <c r="M22" s="185"/>
      <c r="N22" s="185"/>
      <c r="O22" s="186"/>
      <c r="V22" s="9"/>
      <c r="W22" s="10"/>
      <c r="X22" s="10"/>
    </row>
    <row r="23" spans="1:24" ht="33" customHeight="1" thickBot="1" x14ac:dyDescent="0.3">
      <c r="A23" s="194"/>
      <c r="B23" s="195"/>
      <c r="C23" s="195"/>
      <c r="D23" s="196" t="s">
        <v>7</v>
      </c>
      <c r="E23" s="196"/>
      <c r="F23" s="196"/>
      <c r="G23" s="196"/>
      <c r="H23" s="197" t="s">
        <v>61</v>
      </c>
      <c r="I23" s="197"/>
      <c r="J23" s="197"/>
      <c r="K23" s="197"/>
      <c r="L23" s="211" t="s">
        <v>62</v>
      </c>
      <c r="M23" s="211"/>
      <c r="N23" s="211"/>
      <c r="O23" s="212"/>
      <c r="V23" s="9"/>
      <c r="W23" s="10"/>
      <c r="X23" s="10"/>
    </row>
    <row r="24" spans="1:24" ht="15.75" customHeight="1" thickBot="1" x14ac:dyDescent="0.3">
      <c r="A24" s="213" t="s">
        <v>36</v>
      </c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5"/>
      <c r="V24" s="9"/>
      <c r="W24" s="10"/>
      <c r="X24" s="10"/>
    </row>
    <row r="25" spans="1:24" ht="264.75" customHeight="1" thickBot="1" x14ac:dyDescent="0.3">
      <c r="A25" s="177"/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9"/>
      <c r="V25" s="9"/>
    </row>
    <row r="26" spans="1:24" ht="15" customHeight="1" x14ac:dyDescent="0.25">
      <c r="A26" s="198" t="s">
        <v>58</v>
      </c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200" t="s">
        <v>60</v>
      </c>
      <c r="O26" s="201"/>
    </row>
    <row r="27" spans="1:24" ht="15" x14ac:dyDescent="0.25">
      <c r="A27" s="202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41">
        <v>43101</v>
      </c>
      <c r="O27" s="242"/>
    </row>
    <row r="28" spans="1:24" ht="15" x14ac:dyDescent="0.25">
      <c r="A28" s="202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41">
        <v>43132</v>
      </c>
      <c r="O28" s="242"/>
    </row>
    <row r="29" spans="1:24" ht="15" x14ac:dyDescent="0.25">
      <c r="A29" s="202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41">
        <v>43160</v>
      </c>
      <c r="O29" s="242"/>
    </row>
    <row r="30" spans="1:24" ht="15" x14ac:dyDescent="0.25">
      <c r="A30" s="202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41">
        <v>43191</v>
      </c>
      <c r="O30" s="242"/>
    </row>
    <row r="31" spans="1:24" ht="15" x14ac:dyDescent="0.25">
      <c r="A31" s="202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41">
        <v>43221</v>
      </c>
      <c r="O31" s="242"/>
    </row>
    <row r="32" spans="1:24" ht="15" x14ac:dyDescent="0.25">
      <c r="A32" s="202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41">
        <v>43252</v>
      </c>
      <c r="O32" s="242"/>
    </row>
    <row r="33" spans="1:17" ht="15" x14ac:dyDescent="0.25">
      <c r="A33" s="202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41">
        <v>43282</v>
      </c>
      <c r="O33" s="242"/>
    </row>
    <row r="34" spans="1:17" ht="15" x14ac:dyDescent="0.25">
      <c r="A34" s="202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41">
        <v>43313</v>
      </c>
      <c r="O34" s="242"/>
    </row>
    <row r="35" spans="1:17" ht="15" x14ac:dyDescent="0.25">
      <c r="A35" s="202"/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41">
        <v>43344</v>
      </c>
      <c r="O35" s="242"/>
    </row>
    <row r="36" spans="1:17" ht="15" x14ac:dyDescent="0.25">
      <c r="A36" s="202"/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41">
        <v>43374</v>
      </c>
      <c r="O36" s="242"/>
    </row>
    <row r="37" spans="1:17" ht="15" x14ac:dyDescent="0.25">
      <c r="A37" s="202"/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41">
        <v>43405</v>
      </c>
      <c r="O37" s="242"/>
    </row>
    <row r="38" spans="1:17" ht="15.75" thickBot="1" x14ac:dyDescent="0.3">
      <c r="A38" s="202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41">
        <v>43435</v>
      </c>
      <c r="O38" s="242"/>
    </row>
    <row r="39" spans="1:17" ht="25.5" customHeight="1" x14ac:dyDescent="0.25">
      <c r="A39" s="198" t="s">
        <v>59</v>
      </c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200" t="s">
        <v>60</v>
      </c>
      <c r="O39" s="201"/>
    </row>
    <row r="40" spans="1:17" ht="15" x14ac:dyDescent="0.25">
      <c r="A40" s="202"/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4"/>
      <c r="O40" s="205"/>
    </row>
    <row r="41" spans="1:17" ht="15.75" thickBot="1" x14ac:dyDescent="0.3">
      <c r="A41" s="273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5"/>
    </row>
    <row r="42" spans="1:17" ht="6" customHeight="1" x14ac:dyDescent="0.25">
      <c r="A42" s="176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</row>
    <row r="44" spans="1:17" ht="14.25" x14ac:dyDescent="0.2">
      <c r="Q44" s="48" t="s">
        <v>81</v>
      </c>
    </row>
    <row r="45" spans="1:17" ht="14.25" x14ac:dyDescent="0.2">
      <c r="Q45" s="48" t="s">
        <v>82</v>
      </c>
    </row>
    <row r="46" spans="1:17" ht="14.25" x14ac:dyDescent="0.2">
      <c r="Q46" s="48" t="s">
        <v>83</v>
      </c>
    </row>
    <row r="47" spans="1:17" ht="14.25" x14ac:dyDescent="0.2">
      <c r="Q47" s="48" t="s">
        <v>84</v>
      </c>
    </row>
    <row r="48" spans="1:17" ht="14.25" x14ac:dyDescent="0.2">
      <c r="Q48" s="48" t="s">
        <v>85</v>
      </c>
    </row>
    <row r="49" spans="17:17" ht="14.25" x14ac:dyDescent="0.2">
      <c r="Q49" s="48" t="s">
        <v>86</v>
      </c>
    </row>
    <row r="50" spans="17:17" ht="14.25" x14ac:dyDescent="0.2">
      <c r="Q50" s="48" t="s">
        <v>87</v>
      </c>
    </row>
    <row r="51" spans="17:17" ht="14.25" x14ac:dyDescent="0.2">
      <c r="Q51" s="48" t="s">
        <v>88</v>
      </c>
    </row>
    <row r="52" spans="17:17" ht="14.25" x14ac:dyDescent="0.2">
      <c r="Q52" s="48" t="s">
        <v>89</v>
      </c>
    </row>
    <row r="53" spans="17:17" ht="14.25" x14ac:dyDescent="0.2">
      <c r="Q53" s="48" t="s">
        <v>90</v>
      </c>
    </row>
    <row r="54" spans="17:17" ht="14.25" x14ac:dyDescent="0.2">
      <c r="Q54" s="48" t="s">
        <v>91</v>
      </c>
    </row>
    <row r="55" spans="17:17" ht="14.25" x14ac:dyDescent="0.2">
      <c r="Q55" s="48" t="s">
        <v>92</v>
      </c>
    </row>
    <row r="56" spans="17:17" ht="14.25" x14ac:dyDescent="0.2">
      <c r="Q56" s="48" t="s">
        <v>93</v>
      </c>
    </row>
    <row r="58" spans="17:17" x14ac:dyDescent="0.25">
      <c r="Q58" s="25">
        <v>0.92</v>
      </c>
    </row>
    <row r="59" spans="17:17" x14ac:dyDescent="0.25">
      <c r="Q59" s="25">
        <v>1</v>
      </c>
    </row>
  </sheetData>
  <sheetProtection algorithmName="SHA-512" hashValue="QNLZHFSeQAMxkHDdZSxg0JIzmzH08Py+d18cKrVhHGhfVNa8m3NLDNJEeLbPs+Ds0kYb7bmwHT8ieOf7t/inQw==" saltValue="pn7WVgpRluq5LJrqpETVpw==" spinCount="100000" sheet="1" objects="1" scenarios="1"/>
  <mergeCells count="74">
    <mergeCell ref="N35:O35"/>
    <mergeCell ref="N36:O36"/>
    <mergeCell ref="N37:O37"/>
    <mergeCell ref="N38:O38"/>
    <mergeCell ref="N30:O30"/>
    <mergeCell ref="N31:O31"/>
    <mergeCell ref="N32:O32"/>
    <mergeCell ref="N33:O33"/>
    <mergeCell ref="N34:O34"/>
    <mergeCell ref="A25:O25"/>
    <mergeCell ref="L23:O23"/>
    <mergeCell ref="A24:O24"/>
    <mergeCell ref="A11:O11"/>
    <mergeCell ref="A12:O12"/>
    <mergeCell ref="A13:O13"/>
    <mergeCell ref="A14:B14"/>
    <mergeCell ref="J7:K8"/>
    <mergeCell ref="L7:O7"/>
    <mergeCell ref="L8:M8"/>
    <mergeCell ref="A10:O10"/>
    <mergeCell ref="J9:O9"/>
    <mergeCell ref="N40:O40"/>
    <mergeCell ref="A26:M26"/>
    <mergeCell ref="N26:O26"/>
    <mergeCell ref="A27:M27"/>
    <mergeCell ref="N27:O27"/>
    <mergeCell ref="A29:M29"/>
    <mergeCell ref="A30:M30"/>
    <mergeCell ref="A31:M31"/>
    <mergeCell ref="A32:M32"/>
    <mergeCell ref="A33:M33"/>
    <mergeCell ref="A34:M34"/>
    <mergeCell ref="A35:M35"/>
    <mergeCell ref="A36:M36"/>
    <mergeCell ref="A37:M37"/>
    <mergeCell ref="A38:M38"/>
    <mergeCell ref="N29:O29"/>
    <mergeCell ref="F5:O5"/>
    <mergeCell ref="A41:M41"/>
    <mergeCell ref="N41:O41"/>
    <mergeCell ref="D1:O1"/>
    <mergeCell ref="D2:O2"/>
    <mergeCell ref="A3:E3"/>
    <mergeCell ref="F3:O3"/>
    <mergeCell ref="A4:E4"/>
    <mergeCell ref="F4:O4"/>
    <mergeCell ref="A1:C2"/>
    <mergeCell ref="G6:O6"/>
    <mergeCell ref="A6:E6"/>
    <mergeCell ref="A7:D8"/>
    <mergeCell ref="E7:E8"/>
    <mergeCell ref="F7:G8"/>
    <mergeCell ref="H7:H8"/>
    <mergeCell ref="A5:E5"/>
    <mergeCell ref="A16:B16"/>
    <mergeCell ref="A17:B17"/>
    <mergeCell ref="A18:A21"/>
    <mergeCell ref="A15:B15"/>
    <mergeCell ref="A42:O42"/>
    <mergeCell ref="N8:O8"/>
    <mergeCell ref="A9:D9"/>
    <mergeCell ref="F9:G9"/>
    <mergeCell ref="L22:O22"/>
    <mergeCell ref="D23:G23"/>
    <mergeCell ref="H23:K23"/>
    <mergeCell ref="H22:K22"/>
    <mergeCell ref="A22:C23"/>
    <mergeCell ref="D22:G22"/>
    <mergeCell ref="I7:I8"/>
    <mergeCell ref="A28:M28"/>
    <mergeCell ref="N28:O28"/>
    <mergeCell ref="A39:M39"/>
    <mergeCell ref="N39:O39"/>
    <mergeCell ref="A40:M40"/>
  </mergeCells>
  <dataValidations disablePrompts="1" count="1">
    <dataValidation type="list" allowBlank="1" showInputMessage="1" showErrorMessage="1" sqref="J9:O9">
      <formula1>$Q$44:$Q$56</formula1>
    </dataValidation>
  </dataValidations>
  <pageMargins left="0.39370078740157483" right="0.39370078740157483" top="0.35433070866141736" bottom="0.35433070866141736" header="0" footer="0"/>
  <pageSetup scale="73" orientation="portrait" horizontalDpi="4294967294" verticalDpi="4294967294" r:id="rId1"/>
  <headerFooter alignWithMargins="0">
    <oddFooter>&amp;R&amp;8Diseñado por: Wilson Andrade González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59"/>
  <sheetViews>
    <sheetView windowProtection="1" topLeftCell="A26" zoomScaleSheetLayoutView="72" workbookViewId="0">
      <selection activeCell="K47" sqref="K47"/>
    </sheetView>
  </sheetViews>
  <sheetFormatPr baseColWidth="10" defaultRowHeight="12.75" x14ac:dyDescent="0.25"/>
  <cols>
    <col min="1" max="1" width="3.85546875" style="3" customWidth="1"/>
    <col min="2" max="2" width="26.85546875" style="3" customWidth="1"/>
    <col min="3" max="11" width="7.7109375" style="3" customWidth="1"/>
    <col min="12" max="12" width="8.28515625" style="3" customWidth="1"/>
    <col min="13" max="15" width="7.7109375" style="3" customWidth="1"/>
    <col min="16" max="16" width="6.5703125" style="3" customWidth="1"/>
    <col min="17" max="18" width="6.5703125" style="3" hidden="1" customWidth="1"/>
    <col min="19" max="20" width="6.5703125" style="3" customWidth="1"/>
    <col min="21" max="21" width="9" style="3" customWidth="1"/>
    <col min="22" max="22" width="5.7109375" style="3" customWidth="1"/>
    <col min="23" max="23" width="10.42578125" style="3" customWidth="1"/>
    <col min="24" max="24" width="10" style="3" customWidth="1"/>
    <col min="25" max="257" width="11.42578125" style="3"/>
    <col min="258" max="258" width="26.85546875" style="3" customWidth="1"/>
    <col min="259" max="267" width="7.7109375" style="3" customWidth="1"/>
    <col min="268" max="268" width="8.28515625" style="3" customWidth="1"/>
    <col min="269" max="271" width="7.7109375" style="3" customWidth="1"/>
    <col min="272" max="513" width="11.42578125" style="3"/>
    <col min="514" max="514" width="26.85546875" style="3" customWidth="1"/>
    <col min="515" max="523" width="7.7109375" style="3" customWidth="1"/>
    <col min="524" max="524" width="8.28515625" style="3" customWidth="1"/>
    <col min="525" max="527" width="7.7109375" style="3" customWidth="1"/>
    <col min="528" max="769" width="11.42578125" style="3"/>
    <col min="770" max="770" width="26.85546875" style="3" customWidth="1"/>
    <col min="771" max="779" width="7.7109375" style="3" customWidth="1"/>
    <col min="780" max="780" width="8.28515625" style="3" customWidth="1"/>
    <col min="781" max="783" width="7.7109375" style="3" customWidth="1"/>
    <col min="784" max="1025" width="11.42578125" style="3"/>
    <col min="1026" max="1026" width="26.85546875" style="3" customWidth="1"/>
    <col min="1027" max="1035" width="7.7109375" style="3" customWidth="1"/>
    <col min="1036" max="1036" width="8.28515625" style="3" customWidth="1"/>
    <col min="1037" max="1039" width="7.7109375" style="3" customWidth="1"/>
    <col min="1040" max="1281" width="11.42578125" style="3"/>
    <col min="1282" max="1282" width="26.85546875" style="3" customWidth="1"/>
    <col min="1283" max="1291" width="7.7109375" style="3" customWidth="1"/>
    <col min="1292" max="1292" width="8.28515625" style="3" customWidth="1"/>
    <col min="1293" max="1295" width="7.7109375" style="3" customWidth="1"/>
    <col min="1296" max="1537" width="11.42578125" style="3"/>
    <col min="1538" max="1538" width="26.85546875" style="3" customWidth="1"/>
    <col min="1539" max="1547" width="7.7109375" style="3" customWidth="1"/>
    <col min="1548" max="1548" width="8.28515625" style="3" customWidth="1"/>
    <col min="1549" max="1551" width="7.7109375" style="3" customWidth="1"/>
    <col min="1552" max="1793" width="11.42578125" style="3"/>
    <col min="1794" max="1794" width="26.85546875" style="3" customWidth="1"/>
    <col min="1795" max="1803" width="7.7109375" style="3" customWidth="1"/>
    <col min="1804" max="1804" width="8.28515625" style="3" customWidth="1"/>
    <col min="1805" max="1807" width="7.7109375" style="3" customWidth="1"/>
    <col min="1808" max="2049" width="11.42578125" style="3"/>
    <col min="2050" max="2050" width="26.85546875" style="3" customWidth="1"/>
    <col min="2051" max="2059" width="7.7109375" style="3" customWidth="1"/>
    <col min="2060" max="2060" width="8.28515625" style="3" customWidth="1"/>
    <col min="2061" max="2063" width="7.7109375" style="3" customWidth="1"/>
    <col min="2064" max="2305" width="11.42578125" style="3"/>
    <col min="2306" max="2306" width="26.85546875" style="3" customWidth="1"/>
    <col min="2307" max="2315" width="7.7109375" style="3" customWidth="1"/>
    <col min="2316" max="2316" width="8.28515625" style="3" customWidth="1"/>
    <col min="2317" max="2319" width="7.7109375" style="3" customWidth="1"/>
    <col min="2320" max="2561" width="11.42578125" style="3"/>
    <col min="2562" max="2562" width="26.85546875" style="3" customWidth="1"/>
    <col min="2563" max="2571" width="7.7109375" style="3" customWidth="1"/>
    <col min="2572" max="2572" width="8.28515625" style="3" customWidth="1"/>
    <col min="2573" max="2575" width="7.7109375" style="3" customWidth="1"/>
    <col min="2576" max="2817" width="11.42578125" style="3"/>
    <col min="2818" max="2818" width="26.85546875" style="3" customWidth="1"/>
    <col min="2819" max="2827" width="7.7109375" style="3" customWidth="1"/>
    <col min="2828" max="2828" width="8.28515625" style="3" customWidth="1"/>
    <col min="2829" max="2831" width="7.7109375" style="3" customWidth="1"/>
    <col min="2832" max="3073" width="11.42578125" style="3"/>
    <col min="3074" max="3074" width="26.85546875" style="3" customWidth="1"/>
    <col min="3075" max="3083" width="7.7109375" style="3" customWidth="1"/>
    <col min="3084" max="3084" width="8.28515625" style="3" customWidth="1"/>
    <col min="3085" max="3087" width="7.7109375" style="3" customWidth="1"/>
    <col min="3088" max="3329" width="11.42578125" style="3"/>
    <col min="3330" max="3330" width="26.85546875" style="3" customWidth="1"/>
    <col min="3331" max="3339" width="7.7109375" style="3" customWidth="1"/>
    <col min="3340" max="3340" width="8.28515625" style="3" customWidth="1"/>
    <col min="3341" max="3343" width="7.7109375" style="3" customWidth="1"/>
    <col min="3344" max="3585" width="11.42578125" style="3"/>
    <col min="3586" max="3586" width="26.85546875" style="3" customWidth="1"/>
    <col min="3587" max="3595" width="7.7109375" style="3" customWidth="1"/>
    <col min="3596" max="3596" width="8.28515625" style="3" customWidth="1"/>
    <col min="3597" max="3599" width="7.7109375" style="3" customWidth="1"/>
    <col min="3600" max="3841" width="11.42578125" style="3"/>
    <col min="3842" max="3842" width="26.85546875" style="3" customWidth="1"/>
    <col min="3843" max="3851" width="7.7109375" style="3" customWidth="1"/>
    <col min="3852" max="3852" width="8.28515625" style="3" customWidth="1"/>
    <col min="3853" max="3855" width="7.7109375" style="3" customWidth="1"/>
    <col min="3856" max="4097" width="11.42578125" style="3"/>
    <col min="4098" max="4098" width="26.85546875" style="3" customWidth="1"/>
    <col min="4099" max="4107" width="7.7109375" style="3" customWidth="1"/>
    <col min="4108" max="4108" width="8.28515625" style="3" customWidth="1"/>
    <col min="4109" max="4111" width="7.7109375" style="3" customWidth="1"/>
    <col min="4112" max="4353" width="11.42578125" style="3"/>
    <col min="4354" max="4354" width="26.85546875" style="3" customWidth="1"/>
    <col min="4355" max="4363" width="7.7109375" style="3" customWidth="1"/>
    <col min="4364" max="4364" width="8.28515625" style="3" customWidth="1"/>
    <col min="4365" max="4367" width="7.7109375" style="3" customWidth="1"/>
    <col min="4368" max="4609" width="11.42578125" style="3"/>
    <col min="4610" max="4610" width="26.85546875" style="3" customWidth="1"/>
    <col min="4611" max="4619" width="7.7109375" style="3" customWidth="1"/>
    <col min="4620" max="4620" width="8.28515625" style="3" customWidth="1"/>
    <col min="4621" max="4623" width="7.7109375" style="3" customWidth="1"/>
    <col min="4624" max="4865" width="11.42578125" style="3"/>
    <col min="4866" max="4866" width="26.85546875" style="3" customWidth="1"/>
    <col min="4867" max="4875" width="7.7109375" style="3" customWidth="1"/>
    <col min="4876" max="4876" width="8.28515625" style="3" customWidth="1"/>
    <col min="4877" max="4879" width="7.7109375" style="3" customWidth="1"/>
    <col min="4880" max="5121" width="11.42578125" style="3"/>
    <col min="5122" max="5122" width="26.85546875" style="3" customWidth="1"/>
    <col min="5123" max="5131" width="7.7109375" style="3" customWidth="1"/>
    <col min="5132" max="5132" width="8.28515625" style="3" customWidth="1"/>
    <col min="5133" max="5135" width="7.7109375" style="3" customWidth="1"/>
    <col min="5136" max="5377" width="11.42578125" style="3"/>
    <col min="5378" max="5378" width="26.85546875" style="3" customWidth="1"/>
    <col min="5379" max="5387" width="7.7109375" style="3" customWidth="1"/>
    <col min="5388" max="5388" width="8.28515625" style="3" customWidth="1"/>
    <col min="5389" max="5391" width="7.7109375" style="3" customWidth="1"/>
    <col min="5392" max="5633" width="11.42578125" style="3"/>
    <col min="5634" max="5634" width="26.85546875" style="3" customWidth="1"/>
    <col min="5635" max="5643" width="7.7109375" style="3" customWidth="1"/>
    <col min="5644" max="5644" width="8.28515625" style="3" customWidth="1"/>
    <col min="5645" max="5647" width="7.7109375" style="3" customWidth="1"/>
    <col min="5648" max="5889" width="11.42578125" style="3"/>
    <col min="5890" max="5890" width="26.85546875" style="3" customWidth="1"/>
    <col min="5891" max="5899" width="7.7109375" style="3" customWidth="1"/>
    <col min="5900" max="5900" width="8.28515625" style="3" customWidth="1"/>
    <col min="5901" max="5903" width="7.7109375" style="3" customWidth="1"/>
    <col min="5904" max="6145" width="11.42578125" style="3"/>
    <col min="6146" max="6146" width="26.85546875" style="3" customWidth="1"/>
    <col min="6147" max="6155" width="7.7109375" style="3" customWidth="1"/>
    <col min="6156" max="6156" width="8.28515625" style="3" customWidth="1"/>
    <col min="6157" max="6159" width="7.7109375" style="3" customWidth="1"/>
    <col min="6160" max="6401" width="11.42578125" style="3"/>
    <col min="6402" max="6402" width="26.85546875" style="3" customWidth="1"/>
    <col min="6403" max="6411" width="7.7109375" style="3" customWidth="1"/>
    <col min="6412" max="6412" width="8.28515625" style="3" customWidth="1"/>
    <col min="6413" max="6415" width="7.7109375" style="3" customWidth="1"/>
    <col min="6416" max="6657" width="11.42578125" style="3"/>
    <col min="6658" max="6658" width="26.85546875" style="3" customWidth="1"/>
    <col min="6659" max="6667" width="7.7109375" style="3" customWidth="1"/>
    <col min="6668" max="6668" width="8.28515625" style="3" customWidth="1"/>
    <col min="6669" max="6671" width="7.7109375" style="3" customWidth="1"/>
    <col min="6672" max="6913" width="11.42578125" style="3"/>
    <col min="6914" max="6914" width="26.85546875" style="3" customWidth="1"/>
    <col min="6915" max="6923" width="7.7109375" style="3" customWidth="1"/>
    <col min="6924" max="6924" width="8.28515625" style="3" customWidth="1"/>
    <col min="6925" max="6927" width="7.7109375" style="3" customWidth="1"/>
    <col min="6928" max="7169" width="11.42578125" style="3"/>
    <col min="7170" max="7170" width="26.85546875" style="3" customWidth="1"/>
    <col min="7171" max="7179" width="7.7109375" style="3" customWidth="1"/>
    <col min="7180" max="7180" width="8.28515625" style="3" customWidth="1"/>
    <col min="7181" max="7183" width="7.7109375" style="3" customWidth="1"/>
    <col min="7184" max="7425" width="11.42578125" style="3"/>
    <col min="7426" max="7426" width="26.85546875" style="3" customWidth="1"/>
    <col min="7427" max="7435" width="7.7109375" style="3" customWidth="1"/>
    <col min="7436" max="7436" width="8.28515625" style="3" customWidth="1"/>
    <col min="7437" max="7439" width="7.7109375" style="3" customWidth="1"/>
    <col min="7440" max="7681" width="11.42578125" style="3"/>
    <col min="7682" max="7682" width="26.85546875" style="3" customWidth="1"/>
    <col min="7683" max="7691" width="7.7109375" style="3" customWidth="1"/>
    <col min="7692" max="7692" width="8.28515625" style="3" customWidth="1"/>
    <col min="7693" max="7695" width="7.7109375" style="3" customWidth="1"/>
    <col min="7696" max="7937" width="11.42578125" style="3"/>
    <col min="7938" max="7938" width="26.85546875" style="3" customWidth="1"/>
    <col min="7939" max="7947" width="7.7109375" style="3" customWidth="1"/>
    <col min="7948" max="7948" width="8.28515625" style="3" customWidth="1"/>
    <col min="7949" max="7951" width="7.7109375" style="3" customWidth="1"/>
    <col min="7952" max="8193" width="11.42578125" style="3"/>
    <col min="8194" max="8194" width="26.85546875" style="3" customWidth="1"/>
    <col min="8195" max="8203" width="7.7109375" style="3" customWidth="1"/>
    <col min="8204" max="8204" width="8.28515625" style="3" customWidth="1"/>
    <col min="8205" max="8207" width="7.7109375" style="3" customWidth="1"/>
    <col min="8208" max="8449" width="11.42578125" style="3"/>
    <col min="8450" max="8450" width="26.85546875" style="3" customWidth="1"/>
    <col min="8451" max="8459" width="7.7109375" style="3" customWidth="1"/>
    <col min="8460" max="8460" width="8.28515625" style="3" customWidth="1"/>
    <col min="8461" max="8463" width="7.7109375" style="3" customWidth="1"/>
    <col min="8464" max="8705" width="11.42578125" style="3"/>
    <col min="8706" max="8706" width="26.85546875" style="3" customWidth="1"/>
    <col min="8707" max="8715" width="7.7109375" style="3" customWidth="1"/>
    <col min="8716" max="8716" width="8.28515625" style="3" customWidth="1"/>
    <col min="8717" max="8719" width="7.7109375" style="3" customWidth="1"/>
    <col min="8720" max="8961" width="11.42578125" style="3"/>
    <col min="8962" max="8962" width="26.85546875" style="3" customWidth="1"/>
    <col min="8963" max="8971" width="7.7109375" style="3" customWidth="1"/>
    <col min="8972" max="8972" width="8.28515625" style="3" customWidth="1"/>
    <col min="8973" max="8975" width="7.7109375" style="3" customWidth="1"/>
    <col min="8976" max="9217" width="11.42578125" style="3"/>
    <col min="9218" max="9218" width="26.85546875" style="3" customWidth="1"/>
    <col min="9219" max="9227" width="7.7109375" style="3" customWidth="1"/>
    <col min="9228" max="9228" width="8.28515625" style="3" customWidth="1"/>
    <col min="9229" max="9231" width="7.7109375" style="3" customWidth="1"/>
    <col min="9232" max="9473" width="11.42578125" style="3"/>
    <col min="9474" max="9474" width="26.85546875" style="3" customWidth="1"/>
    <col min="9475" max="9483" width="7.7109375" style="3" customWidth="1"/>
    <col min="9484" max="9484" width="8.28515625" style="3" customWidth="1"/>
    <col min="9485" max="9487" width="7.7109375" style="3" customWidth="1"/>
    <col min="9488" max="9729" width="11.42578125" style="3"/>
    <col min="9730" max="9730" width="26.85546875" style="3" customWidth="1"/>
    <col min="9731" max="9739" width="7.7109375" style="3" customWidth="1"/>
    <col min="9740" max="9740" width="8.28515625" style="3" customWidth="1"/>
    <col min="9741" max="9743" width="7.7109375" style="3" customWidth="1"/>
    <col min="9744" max="9985" width="11.42578125" style="3"/>
    <col min="9986" max="9986" width="26.85546875" style="3" customWidth="1"/>
    <col min="9987" max="9995" width="7.7109375" style="3" customWidth="1"/>
    <col min="9996" max="9996" width="8.28515625" style="3" customWidth="1"/>
    <col min="9997" max="9999" width="7.7109375" style="3" customWidth="1"/>
    <col min="10000" max="10241" width="11.42578125" style="3"/>
    <col min="10242" max="10242" width="26.85546875" style="3" customWidth="1"/>
    <col min="10243" max="10251" width="7.7109375" style="3" customWidth="1"/>
    <col min="10252" max="10252" width="8.28515625" style="3" customWidth="1"/>
    <col min="10253" max="10255" width="7.7109375" style="3" customWidth="1"/>
    <col min="10256" max="10497" width="11.42578125" style="3"/>
    <col min="10498" max="10498" width="26.85546875" style="3" customWidth="1"/>
    <col min="10499" max="10507" width="7.7109375" style="3" customWidth="1"/>
    <col min="10508" max="10508" width="8.28515625" style="3" customWidth="1"/>
    <col min="10509" max="10511" width="7.7109375" style="3" customWidth="1"/>
    <col min="10512" max="10753" width="11.42578125" style="3"/>
    <col min="10754" max="10754" width="26.85546875" style="3" customWidth="1"/>
    <col min="10755" max="10763" width="7.7109375" style="3" customWidth="1"/>
    <col min="10764" max="10764" width="8.28515625" style="3" customWidth="1"/>
    <col min="10765" max="10767" width="7.7109375" style="3" customWidth="1"/>
    <col min="10768" max="11009" width="11.42578125" style="3"/>
    <col min="11010" max="11010" width="26.85546875" style="3" customWidth="1"/>
    <col min="11011" max="11019" width="7.7109375" style="3" customWidth="1"/>
    <col min="11020" max="11020" width="8.28515625" style="3" customWidth="1"/>
    <col min="11021" max="11023" width="7.7109375" style="3" customWidth="1"/>
    <col min="11024" max="11265" width="11.42578125" style="3"/>
    <col min="11266" max="11266" width="26.85546875" style="3" customWidth="1"/>
    <col min="11267" max="11275" width="7.7109375" style="3" customWidth="1"/>
    <col min="11276" max="11276" width="8.28515625" style="3" customWidth="1"/>
    <col min="11277" max="11279" width="7.7109375" style="3" customWidth="1"/>
    <col min="11280" max="11521" width="11.42578125" style="3"/>
    <col min="11522" max="11522" width="26.85546875" style="3" customWidth="1"/>
    <col min="11523" max="11531" width="7.7109375" style="3" customWidth="1"/>
    <col min="11532" max="11532" width="8.28515625" style="3" customWidth="1"/>
    <col min="11533" max="11535" width="7.7109375" style="3" customWidth="1"/>
    <col min="11536" max="11777" width="11.42578125" style="3"/>
    <col min="11778" max="11778" width="26.85546875" style="3" customWidth="1"/>
    <col min="11779" max="11787" width="7.7109375" style="3" customWidth="1"/>
    <col min="11788" max="11788" width="8.28515625" style="3" customWidth="1"/>
    <col min="11789" max="11791" width="7.7109375" style="3" customWidth="1"/>
    <col min="11792" max="12033" width="11.42578125" style="3"/>
    <col min="12034" max="12034" width="26.85546875" style="3" customWidth="1"/>
    <col min="12035" max="12043" width="7.7109375" style="3" customWidth="1"/>
    <col min="12044" max="12044" width="8.28515625" style="3" customWidth="1"/>
    <col min="12045" max="12047" width="7.7109375" style="3" customWidth="1"/>
    <col min="12048" max="12289" width="11.42578125" style="3"/>
    <col min="12290" max="12290" width="26.85546875" style="3" customWidth="1"/>
    <col min="12291" max="12299" width="7.7109375" style="3" customWidth="1"/>
    <col min="12300" max="12300" width="8.28515625" style="3" customWidth="1"/>
    <col min="12301" max="12303" width="7.7109375" style="3" customWidth="1"/>
    <col min="12304" max="12545" width="11.42578125" style="3"/>
    <col min="12546" max="12546" width="26.85546875" style="3" customWidth="1"/>
    <col min="12547" max="12555" width="7.7109375" style="3" customWidth="1"/>
    <col min="12556" max="12556" width="8.28515625" style="3" customWidth="1"/>
    <col min="12557" max="12559" width="7.7109375" style="3" customWidth="1"/>
    <col min="12560" max="12801" width="11.42578125" style="3"/>
    <col min="12802" max="12802" width="26.85546875" style="3" customWidth="1"/>
    <col min="12803" max="12811" width="7.7109375" style="3" customWidth="1"/>
    <col min="12812" max="12812" width="8.28515625" style="3" customWidth="1"/>
    <col min="12813" max="12815" width="7.7109375" style="3" customWidth="1"/>
    <col min="12816" max="13057" width="11.42578125" style="3"/>
    <col min="13058" max="13058" width="26.85546875" style="3" customWidth="1"/>
    <col min="13059" max="13067" width="7.7109375" style="3" customWidth="1"/>
    <col min="13068" max="13068" width="8.28515625" style="3" customWidth="1"/>
    <col min="13069" max="13071" width="7.7109375" style="3" customWidth="1"/>
    <col min="13072" max="13313" width="11.42578125" style="3"/>
    <col min="13314" max="13314" width="26.85546875" style="3" customWidth="1"/>
    <col min="13315" max="13323" width="7.7109375" style="3" customWidth="1"/>
    <col min="13324" max="13324" width="8.28515625" style="3" customWidth="1"/>
    <col min="13325" max="13327" width="7.7109375" style="3" customWidth="1"/>
    <col min="13328" max="13569" width="11.42578125" style="3"/>
    <col min="13570" max="13570" width="26.85546875" style="3" customWidth="1"/>
    <col min="13571" max="13579" width="7.7109375" style="3" customWidth="1"/>
    <col min="13580" max="13580" width="8.28515625" style="3" customWidth="1"/>
    <col min="13581" max="13583" width="7.7109375" style="3" customWidth="1"/>
    <col min="13584" max="13825" width="11.42578125" style="3"/>
    <col min="13826" max="13826" width="26.85546875" style="3" customWidth="1"/>
    <col min="13827" max="13835" width="7.7109375" style="3" customWidth="1"/>
    <col min="13836" max="13836" width="8.28515625" style="3" customWidth="1"/>
    <col min="13837" max="13839" width="7.7109375" style="3" customWidth="1"/>
    <col min="13840" max="14081" width="11.42578125" style="3"/>
    <col min="14082" max="14082" width="26.85546875" style="3" customWidth="1"/>
    <col min="14083" max="14091" width="7.7109375" style="3" customWidth="1"/>
    <col min="14092" max="14092" width="8.28515625" style="3" customWidth="1"/>
    <col min="14093" max="14095" width="7.7109375" style="3" customWidth="1"/>
    <col min="14096" max="14337" width="11.42578125" style="3"/>
    <col min="14338" max="14338" width="26.85546875" style="3" customWidth="1"/>
    <col min="14339" max="14347" width="7.7109375" style="3" customWidth="1"/>
    <col min="14348" max="14348" width="8.28515625" style="3" customWidth="1"/>
    <col min="14349" max="14351" width="7.7109375" style="3" customWidth="1"/>
    <col min="14352" max="14593" width="11.42578125" style="3"/>
    <col min="14594" max="14594" width="26.85546875" style="3" customWidth="1"/>
    <col min="14595" max="14603" width="7.7109375" style="3" customWidth="1"/>
    <col min="14604" max="14604" width="8.28515625" style="3" customWidth="1"/>
    <col min="14605" max="14607" width="7.7109375" style="3" customWidth="1"/>
    <col min="14608" max="14849" width="11.42578125" style="3"/>
    <col min="14850" max="14850" width="26.85546875" style="3" customWidth="1"/>
    <col min="14851" max="14859" width="7.7109375" style="3" customWidth="1"/>
    <col min="14860" max="14860" width="8.28515625" style="3" customWidth="1"/>
    <col min="14861" max="14863" width="7.7109375" style="3" customWidth="1"/>
    <col min="14864" max="15105" width="11.42578125" style="3"/>
    <col min="15106" max="15106" width="26.85546875" style="3" customWidth="1"/>
    <col min="15107" max="15115" width="7.7109375" style="3" customWidth="1"/>
    <col min="15116" max="15116" width="8.28515625" style="3" customWidth="1"/>
    <col min="15117" max="15119" width="7.7109375" style="3" customWidth="1"/>
    <col min="15120" max="15361" width="11.42578125" style="3"/>
    <col min="15362" max="15362" width="26.85546875" style="3" customWidth="1"/>
    <col min="15363" max="15371" width="7.7109375" style="3" customWidth="1"/>
    <col min="15372" max="15372" width="8.28515625" style="3" customWidth="1"/>
    <col min="15373" max="15375" width="7.7109375" style="3" customWidth="1"/>
    <col min="15376" max="15617" width="11.42578125" style="3"/>
    <col min="15618" max="15618" width="26.85546875" style="3" customWidth="1"/>
    <col min="15619" max="15627" width="7.7109375" style="3" customWidth="1"/>
    <col min="15628" max="15628" width="8.28515625" style="3" customWidth="1"/>
    <col min="15629" max="15631" width="7.7109375" style="3" customWidth="1"/>
    <col min="15632" max="15873" width="11.42578125" style="3"/>
    <col min="15874" max="15874" width="26.85546875" style="3" customWidth="1"/>
    <col min="15875" max="15883" width="7.7109375" style="3" customWidth="1"/>
    <col min="15884" max="15884" width="8.28515625" style="3" customWidth="1"/>
    <col min="15885" max="15887" width="7.7109375" style="3" customWidth="1"/>
    <col min="15888" max="16129" width="11.42578125" style="3"/>
    <col min="16130" max="16130" width="26.85546875" style="3" customWidth="1"/>
    <col min="16131" max="16139" width="7.7109375" style="3" customWidth="1"/>
    <col min="16140" max="16140" width="8.28515625" style="3" customWidth="1"/>
    <col min="16141" max="16143" width="7.7109375" style="3" customWidth="1"/>
    <col min="16144" max="16384" width="11.42578125" style="3"/>
  </cols>
  <sheetData>
    <row r="1" spans="1:24" ht="20.25" customHeight="1" x14ac:dyDescent="0.25">
      <c r="A1" s="247"/>
      <c r="B1" s="248"/>
      <c r="C1" s="249"/>
      <c r="D1" s="243" t="s">
        <v>20</v>
      </c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4"/>
    </row>
    <row r="2" spans="1:24" ht="15.75" customHeight="1" thickBot="1" x14ac:dyDescent="0.3">
      <c r="A2" s="250"/>
      <c r="B2" s="251"/>
      <c r="C2" s="252"/>
      <c r="D2" s="245" t="s">
        <v>67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6"/>
    </row>
    <row r="3" spans="1:24" ht="13.5" customHeight="1" x14ac:dyDescent="0.25">
      <c r="A3" s="253" t="s">
        <v>0</v>
      </c>
      <c r="B3" s="254"/>
      <c r="C3" s="254"/>
      <c r="D3" s="254"/>
      <c r="E3" s="254"/>
      <c r="F3" s="254" t="str">
        <f>'SET SP Nataga'!J3</f>
        <v>GESTIÓN DE SERVICIOS PÚBLICOS - NATAGA</v>
      </c>
      <c r="G3" s="254"/>
      <c r="H3" s="254"/>
      <c r="I3" s="254"/>
      <c r="J3" s="254"/>
      <c r="K3" s="254"/>
      <c r="L3" s="254"/>
      <c r="M3" s="254"/>
      <c r="N3" s="254"/>
      <c r="O3" s="255"/>
    </row>
    <row r="4" spans="1:24" ht="15.75" customHeight="1" x14ac:dyDescent="0.25">
      <c r="A4" s="235" t="s">
        <v>1</v>
      </c>
      <c r="B4" s="236"/>
      <c r="C4" s="236"/>
      <c r="D4" s="236"/>
      <c r="E4" s="236"/>
      <c r="F4" s="256" t="str">
        <f>'SET SP Nataga'!$B13</f>
        <v>Cobertura de medición</v>
      </c>
      <c r="G4" s="256"/>
      <c r="H4" s="256"/>
      <c r="I4" s="256"/>
      <c r="J4" s="256"/>
      <c r="K4" s="256"/>
      <c r="L4" s="256"/>
      <c r="M4" s="256"/>
      <c r="N4" s="256"/>
      <c r="O4" s="277"/>
    </row>
    <row r="5" spans="1:24" ht="15.75" customHeight="1" x14ac:dyDescent="0.25">
      <c r="A5" s="235" t="s">
        <v>55</v>
      </c>
      <c r="B5" s="236"/>
      <c r="C5" s="236"/>
      <c r="D5" s="236"/>
      <c r="E5" s="236"/>
      <c r="F5" s="238" t="str">
        <f>'SET SP Nataga'!F13</f>
        <v xml:space="preserve">Eficiencia </v>
      </c>
      <c r="G5" s="239"/>
      <c r="H5" s="239"/>
      <c r="I5" s="239"/>
      <c r="J5" s="239"/>
      <c r="K5" s="239"/>
      <c r="L5" s="239"/>
      <c r="M5" s="239"/>
      <c r="N5" s="239"/>
      <c r="O5" s="240"/>
    </row>
    <row r="6" spans="1:24" ht="17.25" customHeight="1" thickBot="1" x14ac:dyDescent="0.3">
      <c r="A6" s="259" t="s">
        <v>21</v>
      </c>
      <c r="B6" s="260"/>
      <c r="C6" s="260"/>
      <c r="D6" s="260"/>
      <c r="E6" s="260"/>
      <c r="F6" s="26" t="s">
        <v>94</v>
      </c>
      <c r="G6" s="261" t="str">
        <f>'SET SP Nataga'!A13</f>
        <v>IN08</v>
      </c>
      <c r="H6" s="261"/>
      <c r="I6" s="261"/>
      <c r="J6" s="261"/>
      <c r="K6" s="261"/>
      <c r="L6" s="261"/>
      <c r="M6" s="261"/>
      <c r="N6" s="261"/>
      <c r="O6" s="276"/>
    </row>
    <row r="7" spans="1:24" ht="12.75" customHeight="1" x14ac:dyDescent="0.25">
      <c r="A7" s="264" t="s">
        <v>22</v>
      </c>
      <c r="B7" s="265"/>
      <c r="C7" s="265"/>
      <c r="D7" s="265"/>
      <c r="E7" s="230" t="s">
        <v>23</v>
      </c>
      <c r="F7" s="230" t="s">
        <v>24</v>
      </c>
      <c r="G7" s="230"/>
      <c r="H7" s="230" t="s">
        <v>25</v>
      </c>
      <c r="I7" s="230" t="s">
        <v>26</v>
      </c>
      <c r="J7" s="230" t="s">
        <v>27</v>
      </c>
      <c r="K7" s="230"/>
      <c r="L7" s="232" t="s">
        <v>28</v>
      </c>
      <c r="M7" s="232"/>
      <c r="N7" s="232"/>
      <c r="O7" s="233"/>
    </row>
    <row r="8" spans="1:24" ht="46.5" customHeight="1" x14ac:dyDescent="0.25">
      <c r="A8" s="266"/>
      <c r="B8" s="234"/>
      <c r="C8" s="234"/>
      <c r="D8" s="234"/>
      <c r="E8" s="231"/>
      <c r="F8" s="231"/>
      <c r="G8" s="231"/>
      <c r="H8" s="231"/>
      <c r="I8" s="231"/>
      <c r="J8" s="231"/>
      <c r="K8" s="231"/>
      <c r="L8" s="234" t="s">
        <v>29</v>
      </c>
      <c r="M8" s="234"/>
      <c r="N8" s="234" t="s">
        <v>30</v>
      </c>
      <c r="O8" s="237"/>
    </row>
    <row r="9" spans="1:24" ht="59.25" customHeight="1" thickBot="1" x14ac:dyDescent="0.3">
      <c r="A9" s="206" t="str">
        <f>'SET SP Nataga'!$C13</f>
        <v>Lograr que los suscriptores del servicio de acueducto de Aguas del Huila, tengan su instrumento medición.</v>
      </c>
      <c r="B9" s="207"/>
      <c r="C9" s="207"/>
      <c r="D9" s="207"/>
      <c r="E9" s="17" t="s">
        <v>35</v>
      </c>
      <c r="F9" s="288" t="str">
        <f>'SET SP Nataga'!$D13</f>
        <v xml:space="preserve">(Número de Medidores en servicio / Número de Suscriptores) x 100%          </v>
      </c>
      <c r="G9" s="289"/>
      <c r="H9" s="22">
        <f>$O16</f>
        <v>0</v>
      </c>
      <c r="I9" s="28" t="str">
        <f>'SET SP Nataga'!$E13</f>
        <v>Trimestral</v>
      </c>
      <c r="J9" s="208" t="s">
        <v>89</v>
      </c>
      <c r="K9" s="209"/>
      <c r="L9" s="209"/>
      <c r="M9" s="209"/>
      <c r="N9" s="209"/>
      <c r="O9" s="210"/>
    </row>
    <row r="10" spans="1:24" ht="13.5" customHeight="1" x14ac:dyDescent="0.25">
      <c r="A10" s="216" t="s">
        <v>38</v>
      </c>
      <c r="B10" s="217"/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8"/>
    </row>
    <row r="11" spans="1:24" ht="24.75" customHeight="1" thickBot="1" x14ac:dyDescent="0.3">
      <c r="A11" s="219"/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1"/>
    </row>
    <row r="12" spans="1:24" ht="15" customHeight="1" thickBot="1" x14ac:dyDescent="0.3">
      <c r="A12" s="281" t="s">
        <v>31</v>
      </c>
      <c r="B12" s="282"/>
      <c r="C12" s="282"/>
      <c r="D12" s="282"/>
      <c r="E12" s="282"/>
      <c r="F12" s="282"/>
      <c r="G12" s="282"/>
      <c r="H12" s="282"/>
      <c r="I12" s="282"/>
      <c r="J12" s="282"/>
      <c r="K12" s="282"/>
      <c r="L12" s="282"/>
      <c r="M12" s="282"/>
      <c r="N12" s="282"/>
      <c r="O12" s="283"/>
      <c r="V12" s="9"/>
      <c r="W12" s="27"/>
      <c r="X12" s="27"/>
    </row>
    <row r="13" spans="1:24" ht="16.5" customHeight="1" x14ac:dyDescent="0.25">
      <c r="A13" s="225" t="s">
        <v>273</v>
      </c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7"/>
      <c r="V13" s="9"/>
      <c r="W13" s="10"/>
      <c r="X13" s="10"/>
    </row>
    <row r="14" spans="1:24" ht="16.5" customHeight="1" x14ac:dyDescent="0.25">
      <c r="A14" s="228" t="s">
        <v>32</v>
      </c>
      <c r="B14" s="229"/>
      <c r="C14" s="135" t="s">
        <v>8</v>
      </c>
      <c r="D14" s="135" t="s">
        <v>9</v>
      </c>
      <c r="E14" s="135" t="s">
        <v>10</v>
      </c>
      <c r="F14" s="135" t="s">
        <v>11</v>
      </c>
      <c r="G14" s="135" t="s">
        <v>12</v>
      </c>
      <c r="H14" s="135" t="s">
        <v>13</v>
      </c>
      <c r="I14" s="135" t="s">
        <v>14</v>
      </c>
      <c r="J14" s="135" t="s">
        <v>15</v>
      </c>
      <c r="K14" s="135" t="s">
        <v>16</v>
      </c>
      <c r="L14" s="135" t="s">
        <v>17</v>
      </c>
      <c r="M14" s="135" t="s">
        <v>18</v>
      </c>
      <c r="N14" s="135" t="s">
        <v>19</v>
      </c>
      <c r="O14" s="6" t="s">
        <v>33</v>
      </c>
      <c r="V14" s="9"/>
      <c r="W14" s="10"/>
      <c r="X14" s="10"/>
    </row>
    <row r="15" spans="1:24" ht="16.5" customHeight="1" x14ac:dyDescent="0.25">
      <c r="A15" s="183" t="s">
        <v>39</v>
      </c>
      <c r="B15" s="184"/>
      <c r="C15" s="139">
        <f t="shared" ref="C15:N15" si="0">$O$15</f>
        <v>0</v>
      </c>
      <c r="D15" s="139">
        <f t="shared" si="0"/>
        <v>0</v>
      </c>
      <c r="E15" s="139">
        <f t="shared" si="0"/>
        <v>0</v>
      </c>
      <c r="F15" s="139">
        <f t="shared" si="0"/>
        <v>0</v>
      </c>
      <c r="G15" s="139">
        <f t="shared" si="0"/>
        <v>0</v>
      </c>
      <c r="H15" s="139">
        <f t="shared" si="0"/>
        <v>0</v>
      </c>
      <c r="I15" s="139">
        <f t="shared" si="0"/>
        <v>0</v>
      </c>
      <c r="J15" s="139">
        <f t="shared" si="0"/>
        <v>0</v>
      </c>
      <c r="K15" s="139">
        <f t="shared" si="0"/>
        <v>0</v>
      </c>
      <c r="L15" s="139">
        <f t="shared" si="0"/>
        <v>0</v>
      </c>
      <c r="M15" s="139">
        <f t="shared" si="0"/>
        <v>0</v>
      </c>
      <c r="N15" s="139">
        <f t="shared" si="0"/>
        <v>0</v>
      </c>
      <c r="O15" s="145">
        <f>'SET SP Nataga'!J13</f>
        <v>0</v>
      </c>
      <c r="V15" s="9"/>
      <c r="W15" s="10"/>
      <c r="X15" s="10"/>
    </row>
    <row r="16" spans="1:24" ht="17.25" customHeight="1" x14ac:dyDescent="0.25">
      <c r="A16" s="183" t="s">
        <v>272</v>
      </c>
      <c r="B16" s="184"/>
      <c r="C16" s="139">
        <f t="shared" ref="C16:N16" si="1">$O$16</f>
        <v>0</v>
      </c>
      <c r="D16" s="139">
        <f t="shared" si="1"/>
        <v>0</v>
      </c>
      <c r="E16" s="139">
        <f t="shared" si="1"/>
        <v>0</v>
      </c>
      <c r="F16" s="139">
        <f t="shared" si="1"/>
        <v>0</v>
      </c>
      <c r="G16" s="139">
        <f t="shared" si="1"/>
        <v>0</v>
      </c>
      <c r="H16" s="139">
        <f t="shared" si="1"/>
        <v>0</v>
      </c>
      <c r="I16" s="139">
        <f t="shared" si="1"/>
        <v>0</v>
      </c>
      <c r="J16" s="139">
        <f t="shared" si="1"/>
        <v>0</v>
      </c>
      <c r="K16" s="139">
        <f t="shared" si="1"/>
        <v>0</v>
      </c>
      <c r="L16" s="139">
        <f t="shared" si="1"/>
        <v>0</v>
      </c>
      <c r="M16" s="139">
        <f t="shared" si="1"/>
        <v>0</v>
      </c>
      <c r="N16" s="139">
        <f t="shared" si="1"/>
        <v>0</v>
      </c>
      <c r="O16" s="145">
        <f>'SET SP Nataga'!K13</f>
        <v>0</v>
      </c>
      <c r="V16" s="9"/>
      <c r="W16" s="10"/>
      <c r="X16" s="10"/>
    </row>
    <row r="17" spans="1:24" ht="17.25" customHeight="1" x14ac:dyDescent="0.25">
      <c r="A17" s="187" t="s">
        <v>263</v>
      </c>
      <c r="B17" s="188"/>
      <c r="C17" s="12">
        <f t="shared" ref="C17:E17" si="2">IF((C19),C18/C19,"-")</f>
        <v>0.95325953259532592</v>
      </c>
      <c r="D17" s="12">
        <f t="shared" si="2"/>
        <v>0.94362745098039214</v>
      </c>
      <c r="E17" s="12">
        <f t="shared" si="2"/>
        <v>0.95243902439024386</v>
      </c>
      <c r="F17" s="12">
        <f>IF((F19),F18/F19,"-")</f>
        <v>0.95121951219512191</v>
      </c>
      <c r="G17" s="12">
        <f t="shared" ref="G17:O17" si="3">IF((G19),G18/G19,"-")</f>
        <v>0.93438639125151879</v>
      </c>
      <c r="H17" s="12">
        <f t="shared" si="3"/>
        <v>0.9404617253948967</v>
      </c>
      <c r="I17" s="12">
        <f t="shared" si="3"/>
        <v>0.943030303030303</v>
      </c>
      <c r="J17" s="12">
        <f t="shared" si="3"/>
        <v>1</v>
      </c>
      <c r="K17" s="12">
        <f t="shared" si="3"/>
        <v>1</v>
      </c>
      <c r="L17" s="12">
        <f t="shared" si="3"/>
        <v>1</v>
      </c>
      <c r="M17" s="12">
        <f t="shared" si="3"/>
        <v>1</v>
      </c>
      <c r="N17" s="12">
        <f t="shared" si="3"/>
        <v>1</v>
      </c>
      <c r="O17" s="13">
        <f t="shared" si="3"/>
        <v>0.9682941653160454</v>
      </c>
      <c r="V17" s="9"/>
      <c r="W17" s="10"/>
      <c r="X17" s="10"/>
    </row>
    <row r="18" spans="1:24" ht="16.5" customHeight="1" x14ac:dyDescent="0.25">
      <c r="A18" s="189" t="s">
        <v>37</v>
      </c>
      <c r="B18" s="39" t="s">
        <v>139</v>
      </c>
      <c r="C18" s="23">
        <f>+'NATAGA-18'!D38</f>
        <v>775</v>
      </c>
      <c r="D18" s="23">
        <f>+'NATAGA-18'!E38</f>
        <v>770</v>
      </c>
      <c r="E18" s="23">
        <f>+'NATAGA-18'!F38</f>
        <v>781</v>
      </c>
      <c r="F18" s="23">
        <f>+'NATAGA-18'!G38</f>
        <v>780</v>
      </c>
      <c r="G18" s="23">
        <f>+'NATAGA-18'!H38</f>
        <v>769</v>
      </c>
      <c r="H18" s="23">
        <f>+'NATAGA-18'!I38</f>
        <v>774</v>
      </c>
      <c r="I18" s="23">
        <f>+'NATAGA-18'!J38</f>
        <v>778</v>
      </c>
      <c r="J18" s="23">
        <f t="shared" ref="J18:N18" si="4">+J19</f>
        <v>824</v>
      </c>
      <c r="K18" s="23">
        <f t="shared" si="4"/>
        <v>826</v>
      </c>
      <c r="L18" s="23">
        <f t="shared" si="4"/>
        <v>827</v>
      </c>
      <c r="M18" s="23">
        <f t="shared" si="4"/>
        <v>828</v>
      </c>
      <c r="N18" s="23">
        <f t="shared" si="4"/>
        <v>827</v>
      </c>
      <c r="O18" s="24">
        <f>SUM(C18:N18)</f>
        <v>9559</v>
      </c>
      <c r="V18" s="9"/>
      <c r="W18" s="10"/>
      <c r="X18" s="10"/>
    </row>
    <row r="19" spans="1:24" ht="14.25" customHeight="1" x14ac:dyDescent="0.25">
      <c r="A19" s="189"/>
      <c r="B19" s="39" t="s">
        <v>135</v>
      </c>
      <c r="C19" s="23">
        <f>+'05'!C18</f>
        <v>813</v>
      </c>
      <c r="D19" s="23">
        <f>+'05'!D18</f>
        <v>816</v>
      </c>
      <c r="E19" s="23">
        <f>+'05'!E18</f>
        <v>820</v>
      </c>
      <c r="F19" s="23">
        <f>+'05'!F18</f>
        <v>820</v>
      </c>
      <c r="G19" s="23">
        <f>+'05'!G18</f>
        <v>823</v>
      </c>
      <c r="H19" s="23">
        <f>+'05'!H18</f>
        <v>823</v>
      </c>
      <c r="I19" s="23">
        <f>+'05'!I18</f>
        <v>825</v>
      </c>
      <c r="J19" s="23">
        <f>+'05'!J18</f>
        <v>824</v>
      </c>
      <c r="K19" s="23">
        <f>+'05'!K18</f>
        <v>826</v>
      </c>
      <c r="L19" s="23">
        <f>+'05'!L18</f>
        <v>827</v>
      </c>
      <c r="M19" s="23">
        <f>+'05'!M18</f>
        <v>828</v>
      </c>
      <c r="N19" s="23">
        <f>+'05'!N18</f>
        <v>827</v>
      </c>
      <c r="O19" s="24">
        <f>SUM(C19:N19)</f>
        <v>9872</v>
      </c>
      <c r="V19" s="9"/>
      <c r="W19" s="10"/>
      <c r="X19" s="10"/>
    </row>
    <row r="20" spans="1:24" ht="14.25" customHeight="1" x14ac:dyDescent="0.25">
      <c r="A20" s="287"/>
      <c r="B20" s="71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21"/>
      <c r="V20" s="9"/>
      <c r="W20" s="10"/>
      <c r="X20" s="10"/>
    </row>
    <row r="21" spans="1:24" ht="14.25" customHeight="1" thickBot="1" x14ac:dyDescent="0.3">
      <c r="A21" s="190"/>
      <c r="B21" s="136" t="s">
        <v>3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20"/>
      <c r="V21" s="9"/>
      <c r="W21" s="10"/>
      <c r="X21" s="10"/>
    </row>
    <row r="22" spans="1:24" ht="14.25" customHeight="1" thickBot="1" x14ac:dyDescent="0.3">
      <c r="A22" s="191" t="s">
        <v>34</v>
      </c>
      <c r="B22" s="192"/>
      <c r="C22" s="193"/>
      <c r="D22" s="180" t="str">
        <f>'SET SP Nataga'!$G13</f>
        <v>Entre 80% y 100%</v>
      </c>
      <c r="E22" s="181"/>
      <c r="F22" s="181"/>
      <c r="G22" s="182"/>
      <c r="H22" s="180" t="str">
        <f>'SET SP Nataga'!$H13</f>
        <v>Entre 60% y 79%</v>
      </c>
      <c r="I22" s="181"/>
      <c r="J22" s="181"/>
      <c r="K22" s="182"/>
      <c r="L22" s="180" t="str">
        <f>'SET SP Nataga'!$I13</f>
        <v>Menor al 59%</v>
      </c>
      <c r="M22" s="185"/>
      <c r="N22" s="185"/>
      <c r="O22" s="186"/>
      <c r="V22" s="9"/>
      <c r="W22" s="10"/>
      <c r="X22" s="10"/>
    </row>
    <row r="23" spans="1:24" ht="33" customHeight="1" thickBot="1" x14ac:dyDescent="0.3">
      <c r="A23" s="194"/>
      <c r="B23" s="195"/>
      <c r="C23" s="195"/>
      <c r="D23" s="196" t="s">
        <v>7</v>
      </c>
      <c r="E23" s="196"/>
      <c r="F23" s="196"/>
      <c r="G23" s="196"/>
      <c r="H23" s="197" t="s">
        <v>61</v>
      </c>
      <c r="I23" s="197"/>
      <c r="J23" s="197"/>
      <c r="K23" s="197"/>
      <c r="L23" s="211" t="s">
        <v>62</v>
      </c>
      <c r="M23" s="211"/>
      <c r="N23" s="211"/>
      <c r="O23" s="212"/>
      <c r="V23" s="9"/>
      <c r="W23" s="10"/>
      <c r="X23" s="10"/>
    </row>
    <row r="24" spans="1:24" ht="15.75" customHeight="1" thickBot="1" x14ac:dyDescent="0.3">
      <c r="A24" s="213" t="s">
        <v>36</v>
      </c>
      <c r="B24" s="214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5"/>
      <c r="V24" s="9"/>
      <c r="W24" s="10"/>
      <c r="X24" s="10"/>
    </row>
    <row r="25" spans="1:24" ht="264.75" customHeight="1" thickBot="1" x14ac:dyDescent="0.3">
      <c r="A25" s="177"/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9"/>
      <c r="V25" s="9"/>
    </row>
    <row r="26" spans="1:24" ht="15" customHeight="1" x14ac:dyDescent="0.25">
      <c r="A26" s="198" t="s">
        <v>58</v>
      </c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200" t="s">
        <v>60</v>
      </c>
      <c r="O26" s="201"/>
    </row>
    <row r="27" spans="1:24" ht="15" x14ac:dyDescent="0.25">
      <c r="A27" s="202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41">
        <v>43101</v>
      </c>
      <c r="O27" s="242"/>
    </row>
    <row r="28" spans="1:24" ht="15" x14ac:dyDescent="0.25">
      <c r="A28" s="202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41">
        <v>43132</v>
      </c>
      <c r="O28" s="242"/>
    </row>
    <row r="29" spans="1:24" ht="15" x14ac:dyDescent="0.25">
      <c r="A29" s="202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41">
        <v>43160</v>
      </c>
      <c r="O29" s="242"/>
    </row>
    <row r="30" spans="1:24" ht="15" x14ac:dyDescent="0.25">
      <c r="A30" s="202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41">
        <v>43191</v>
      </c>
      <c r="O30" s="242"/>
    </row>
    <row r="31" spans="1:24" ht="15" x14ac:dyDescent="0.25">
      <c r="A31" s="202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41">
        <v>43221</v>
      </c>
      <c r="O31" s="242"/>
    </row>
    <row r="32" spans="1:24" ht="15" x14ac:dyDescent="0.25">
      <c r="A32" s="202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41">
        <v>43252</v>
      </c>
      <c r="O32" s="242"/>
    </row>
    <row r="33" spans="1:17" ht="15" x14ac:dyDescent="0.25">
      <c r="A33" s="202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41">
        <v>43282</v>
      </c>
      <c r="O33" s="242"/>
    </row>
    <row r="34" spans="1:17" ht="15" x14ac:dyDescent="0.25">
      <c r="A34" s="202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41">
        <v>43313</v>
      </c>
      <c r="O34" s="242"/>
    </row>
    <row r="35" spans="1:17" ht="15" x14ac:dyDescent="0.25">
      <c r="A35" s="202"/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41">
        <v>43344</v>
      </c>
      <c r="O35" s="242"/>
    </row>
    <row r="36" spans="1:17" ht="15" x14ac:dyDescent="0.25">
      <c r="A36" s="202"/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41">
        <v>43374</v>
      </c>
      <c r="O36" s="242"/>
    </row>
    <row r="37" spans="1:17" ht="15" x14ac:dyDescent="0.25">
      <c r="A37" s="202"/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41">
        <v>43405</v>
      </c>
      <c r="O37" s="242"/>
    </row>
    <row r="38" spans="1:17" ht="15.75" thickBot="1" x14ac:dyDescent="0.3">
      <c r="A38" s="202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41">
        <v>43435</v>
      </c>
      <c r="O38" s="242"/>
    </row>
    <row r="39" spans="1:17" ht="25.5" customHeight="1" x14ac:dyDescent="0.25">
      <c r="A39" s="198" t="s">
        <v>59</v>
      </c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200" t="s">
        <v>60</v>
      </c>
      <c r="O39" s="201"/>
    </row>
    <row r="40" spans="1:17" ht="15" x14ac:dyDescent="0.25">
      <c r="A40" s="202" t="s">
        <v>3</v>
      </c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4" t="s">
        <v>3</v>
      </c>
      <c r="O40" s="205"/>
    </row>
    <row r="41" spans="1:17" ht="15.75" thickBot="1" x14ac:dyDescent="0.3">
      <c r="A41" s="273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5"/>
    </row>
    <row r="42" spans="1:17" ht="3.75" customHeight="1" x14ac:dyDescent="0.25">
      <c r="A42" s="176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</row>
    <row r="44" spans="1:17" ht="14.25" x14ac:dyDescent="0.2">
      <c r="Q44" s="48" t="s">
        <v>81</v>
      </c>
    </row>
    <row r="45" spans="1:17" ht="14.25" x14ac:dyDescent="0.2">
      <c r="Q45" s="48" t="s">
        <v>82</v>
      </c>
    </row>
    <row r="46" spans="1:17" ht="14.25" x14ac:dyDescent="0.2">
      <c r="Q46" s="48" t="s">
        <v>83</v>
      </c>
    </row>
    <row r="47" spans="1:17" ht="14.25" x14ac:dyDescent="0.2">
      <c r="Q47" s="48" t="s">
        <v>84</v>
      </c>
    </row>
    <row r="48" spans="1:17" ht="14.25" x14ac:dyDescent="0.2">
      <c r="Q48" s="48" t="s">
        <v>85</v>
      </c>
    </row>
    <row r="49" spans="17:17" ht="14.25" x14ac:dyDescent="0.2">
      <c r="Q49" s="48" t="s">
        <v>86</v>
      </c>
    </row>
    <row r="50" spans="17:17" ht="14.25" x14ac:dyDescent="0.2">
      <c r="Q50" s="48" t="s">
        <v>87</v>
      </c>
    </row>
    <row r="51" spans="17:17" ht="14.25" x14ac:dyDescent="0.2">
      <c r="Q51" s="48" t="s">
        <v>88</v>
      </c>
    </row>
    <row r="52" spans="17:17" ht="14.25" x14ac:dyDescent="0.2">
      <c r="Q52" s="48" t="s">
        <v>89</v>
      </c>
    </row>
    <row r="53" spans="17:17" ht="14.25" x14ac:dyDescent="0.2">
      <c r="Q53" s="48" t="s">
        <v>90</v>
      </c>
    </row>
    <row r="54" spans="17:17" ht="14.25" x14ac:dyDescent="0.2">
      <c r="Q54" s="48" t="s">
        <v>91</v>
      </c>
    </row>
    <row r="55" spans="17:17" ht="14.25" x14ac:dyDescent="0.2">
      <c r="Q55" s="48" t="s">
        <v>92</v>
      </c>
    </row>
    <row r="56" spans="17:17" ht="14.25" x14ac:dyDescent="0.2">
      <c r="Q56" s="48" t="s">
        <v>93</v>
      </c>
    </row>
    <row r="58" spans="17:17" x14ac:dyDescent="0.25">
      <c r="Q58" s="25">
        <v>0.88</v>
      </c>
    </row>
    <row r="59" spans="17:17" x14ac:dyDescent="0.25">
      <c r="Q59" s="25">
        <v>0.9</v>
      </c>
    </row>
  </sheetData>
  <sheetProtection algorithmName="SHA-512" hashValue="E3ajxr6jbJ5UN/0S7sziSWOVRXikqnS443xtKacA4ouLOdRqkzE852MPqS2gCGnQ50WTvMtK3naiLxzVNRw+Vg==" saltValue="udyC53U5/v3yv3TMRalZFA==" spinCount="100000" sheet="1" objects="1" scenarios="1"/>
  <mergeCells count="74">
    <mergeCell ref="N29:O29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A34:M34"/>
    <mergeCell ref="A35:M35"/>
    <mergeCell ref="A36:M36"/>
    <mergeCell ref="A37:M37"/>
    <mergeCell ref="A38:M38"/>
    <mergeCell ref="A29:M29"/>
    <mergeCell ref="A30:M30"/>
    <mergeCell ref="A31:M31"/>
    <mergeCell ref="A32:M32"/>
    <mergeCell ref="A33:M33"/>
    <mergeCell ref="A28:M28"/>
    <mergeCell ref="N28:O28"/>
    <mergeCell ref="D1:O1"/>
    <mergeCell ref="D2:O2"/>
    <mergeCell ref="A3:E3"/>
    <mergeCell ref="F3:O3"/>
    <mergeCell ref="A4:E4"/>
    <mergeCell ref="F4:O4"/>
    <mergeCell ref="A1:C2"/>
    <mergeCell ref="N8:O8"/>
    <mergeCell ref="A9:D9"/>
    <mergeCell ref="F9:G9"/>
    <mergeCell ref="L22:O22"/>
    <mergeCell ref="D23:G23"/>
    <mergeCell ref="H23:K23"/>
    <mergeCell ref="A11:O11"/>
    <mergeCell ref="A14:B14"/>
    <mergeCell ref="I7:I8"/>
    <mergeCell ref="J7:K8"/>
    <mergeCell ref="L7:O7"/>
    <mergeCell ref="L8:M8"/>
    <mergeCell ref="H7:H8"/>
    <mergeCell ref="L23:O23"/>
    <mergeCell ref="A5:E5"/>
    <mergeCell ref="A16:B16"/>
    <mergeCell ref="A17:B17"/>
    <mergeCell ref="A18:A21"/>
    <mergeCell ref="A15:B15"/>
    <mergeCell ref="A10:O10"/>
    <mergeCell ref="J9:O9"/>
    <mergeCell ref="F5:O5"/>
    <mergeCell ref="A6:E6"/>
    <mergeCell ref="G6:O6"/>
    <mergeCell ref="A7:D8"/>
    <mergeCell ref="E7:E8"/>
    <mergeCell ref="F7:G8"/>
    <mergeCell ref="A12:O12"/>
    <mergeCell ref="A13:O13"/>
    <mergeCell ref="A42:O42"/>
    <mergeCell ref="A25:O25"/>
    <mergeCell ref="H22:K22"/>
    <mergeCell ref="A22:C23"/>
    <mergeCell ref="D22:G22"/>
    <mergeCell ref="A24:O24"/>
    <mergeCell ref="A39:M39"/>
    <mergeCell ref="N39:O39"/>
    <mergeCell ref="A40:M40"/>
    <mergeCell ref="N40:O40"/>
    <mergeCell ref="A41:M41"/>
    <mergeCell ref="N41:O41"/>
    <mergeCell ref="A26:M26"/>
    <mergeCell ref="N26:O26"/>
    <mergeCell ref="A27:M27"/>
    <mergeCell ref="N27:O27"/>
  </mergeCells>
  <dataValidations count="1">
    <dataValidation type="list" allowBlank="1" showInputMessage="1" showErrorMessage="1" sqref="J9:O9">
      <formula1>$Q$44:$Q$56</formula1>
    </dataValidation>
  </dataValidations>
  <pageMargins left="0.39370078740157483" right="0.39370078740157483" top="0.35433070866141736" bottom="0.35433070866141736" header="0" footer="0"/>
  <pageSetup scale="73" orientation="portrait" horizontalDpi="4294967294" verticalDpi="4294967294" r:id="rId1"/>
  <headerFooter alignWithMargins="0">
    <oddFooter>&amp;R&amp;8Diseñado por: Wilson Andrade González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SET SP Nataga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NATAGA-18</vt:lpstr>
      <vt:lpstr>'NATAGA-18'!Área_de_impresión</vt:lpstr>
      <vt:lpstr>'SET SP Nataga'!Títulos_a_imprimir</vt:lpstr>
    </vt:vector>
  </TitlesOfParts>
  <Company>Windows XP Colossus Edition 2 Reloaded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Colossus User</dc:creator>
  <cp:lastModifiedBy>wendy dayana</cp:lastModifiedBy>
  <cp:lastPrinted>2015-08-17T02:32:09Z</cp:lastPrinted>
  <dcterms:created xsi:type="dcterms:W3CDTF">2010-03-16T20:37:23Z</dcterms:created>
  <dcterms:modified xsi:type="dcterms:W3CDTF">2019-03-06T22:48:21Z</dcterms:modified>
</cp:coreProperties>
</file>